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/>
  <mc:AlternateContent xmlns:mc="http://schemas.openxmlformats.org/markup-compatibility/2006">
    <mc:Choice Requires="x15">
      <x15ac:absPath xmlns:x15ac="http://schemas.microsoft.com/office/spreadsheetml/2010/11/ac" url="C:\Users\lari-\Desktop\ANEXAR NO DRIVE DE ITAJAI\QUANTITATIVOS\"/>
    </mc:Choice>
  </mc:AlternateContent>
  <xr:revisionPtr revIDLastSave="0" documentId="13_ncr:1_{15B2768C-8228-4E1D-825E-FCC76535549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ARQUITETÔNICO" sheetId="3" r:id="rId1"/>
    <sheet name="ESTRUTURAL" sheetId="5" r:id="rId2"/>
    <sheet name="HIDROSSANITÁRIO" sheetId="6" r:id="rId3"/>
    <sheet name="ELÉ.-LÓG.-CFTV-SPDA-FOTOV." sheetId="4" r:id="rId4"/>
    <sheet name="INCÊNDIO" sheetId="2" r:id="rId5"/>
  </sheets>
  <calcPr calcId="191029"/>
</workbook>
</file>

<file path=xl/calcChain.xml><?xml version="1.0" encoding="utf-8"?>
<calcChain xmlns="http://schemas.openxmlformats.org/spreadsheetml/2006/main">
  <c r="F137" i="4" l="1"/>
  <c r="L136" i="4"/>
  <c r="M136" i="4" s="1"/>
  <c r="N136" i="4" s="1"/>
  <c r="M135" i="4"/>
  <c r="N135" i="4" s="1"/>
  <c r="L135" i="4"/>
  <c r="L133" i="4"/>
  <c r="L137" i="4" s="1"/>
  <c r="L132" i="4"/>
  <c r="M132" i="4" s="1"/>
  <c r="N132" i="4" s="1"/>
  <c r="D132" i="4"/>
  <c r="F131" i="4"/>
  <c r="G131" i="4" s="1"/>
  <c r="H131" i="4" s="1"/>
  <c r="L130" i="4"/>
  <c r="L131" i="4" s="1"/>
  <c r="L127" i="4"/>
  <c r="L128" i="4" s="1"/>
  <c r="L125" i="4"/>
  <c r="L126" i="4" s="1"/>
  <c r="F125" i="4"/>
  <c r="G125" i="4" s="1"/>
  <c r="H125" i="4" s="1"/>
  <c r="L123" i="4"/>
  <c r="L124" i="4" s="1"/>
  <c r="D122" i="4"/>
  <c r="L121" i="4"/>
  <c r="D118" i="4"/>
  <c r="L117" i="4"/>
  <c r="D117" i="4"/>
  <c r="L114" i="4"/>
  <c r="M114" i="4" s="1"/>
  <c r="N114" i="4" s="1"/>
  <c r="I113" i="4"/>
  <c r="D113" i="4"/>
  <c r="L112" i="4"/>
  <c r="L113" i="4" s="1"/>
  <c r="I112" i="4"/>
  <c r="L111" i="4"/>
  <c r="M111" i="4" s="1"/>
  <c r="N111" i="4" s="1"/>
  <c r="I111" i="4"/>
  <c r="D111" i="4"/>
  <c r="I110" i="4"/>
  <c r="H109" i="4"/>
  <c r="G109" i="4"/>
  <c r="F109" i="4"/>
  <c r="I108" i="4"/>
  <c r="I106" i="4"/>
  <c r="I105" i="4"/>
  <c r="D105" i="4" s="1"/>
  <c r="I104" i="4"/>
  <c r="D104" i="4"/>
  <c r="D103" i="4"/>
  <c r="I102" i="4"/>
  <c r="D102" i="4"/>
  <c r="I101" i="4"/>
  <c r="D101" i="4" s="1"/>
  <c r="I100" i="4"/>
  <c r="D100" i="4"/>
  <c r="I99" i="4"/>
  <c r="D99" i="4" s="1"/>
  <c r="I98" i="4"/>
  <c r="D98" i="4"/>
  <c r="I97" i="4"/>
  <c r="D97" i="4" s="1"/>
  <c r="I96" i="4"/>
  <c r="I95" i="4"/>
  <c r="I94" i="4"/>
  <c r="D92" i="4"/>
  <c r="D88" i="4"/>
  <c r="D87" i="4"/>
  <c r="M84" i="4"/>
  <c r="M83" i="4"/>
  <c r="M82" i="4"/>
  <c r="M81" i="4"/>
  <c r="M80" i="4"/>
  <c r="M79" i="4"/>
  <c r="M78" i="4"/>
  <c r="M77" i="4"/>
  <c r="M76" i="4"/>
  <c r="M75" i="4"/>
  <c r="M74" i="4"/>
  <c r="M73" i="4"/>
  <c r="M72" i="4"/>
  <c r="M71" i="4"/>
  <c r="M70" i="4"/>
  <c r="D70" i="4"/>
  <c r="D67" i="4"/>
  <c r="D61" i="4"/>
  <c r="F60" i="4"/>
  <c r="F59" i="4"/>
  <c r="D58" i="4"/>
  <c r="D57" i="4"/>
  <c r="F43" i="4"/>
  <c r="F42" i="4"/>
  <c r="F41" i="4"/>
  <c r="F40" i="4"/>
  <c r="F39" i="4"/>
  <c r="F38" i="4"/>
  <c r="F37" i="4"/>
  <c r="F36" i="4"/>
  <c r="F35" i="4"/>
  <c r="F34" i="4"/>
  <c r="F33" i="4"/>
  <c r="F32" i="4"/>
  <c r="D31" i="4"/>
  <c r="D30" i="4"/>
  <c r="D29" i="4"/>
  <c r="D25" i="4"/>
  <c r="F15" i="4"/>
  <c r="D15" i="4"/>
  <c r="F14" i="4"/>
  <c r="F13" i="4"/>
  <c r="G12" i="4"/>
  <c r="H12" i="4" s="1"/>
  <c r="F12" i="4"/>
  <c r="F11" i="4"/>
  <c r="F10" i="4"/>
  <c r="F9" i="4"/>
  <c r="G9" i="4" s="1"/>
  <c r="H9" i="4" s="1"/>
  <c r="F8" i="4"/>
  <c r="G8" i="4" s="1"/>
  <c r="H8" i="4" s="1"/>
  <c r="F7" i="4"/>
  <c r="D6" i="4"/>
  <c r="M128" i="4" l="1"/>
  <c r="N128" i="4" s="1"/>
  <c r="L129" i="4"/>
  <c r="H13" i="4"/>
  <c r="L115" i="4"/>
  <c r="M127" i="4"/>
  <c r="N127" i="4" s="1"/>
  <c r="G13" i="4"/>
  <c r="I109" i="4"/>
  <c r="L116" i="4"/>
  <c r="M116" i="4" s="1"/>
  <c r="N116" i="4" s="1"/>
  <c r="L134" i="4"/>
  <c r="M124" i="4"/>
  <c r="N124" i="4" s="1"/>
  <c r="M131" i="4"/>
  <c r="N131" i="4" s="1"/>
  <c r="H34" i="4"/>
  <c r="D34" i="4" s="1"/>
  <c r="H38" i="4"/>
  <c r="D38" i="4" s="1"/>
  <c r="M113" i="4"/>
  <c r="N113" i="4" s="1"/>
  <c r="N133" i="4"/>
  <c r="L118" i="4"/>
  <c r="G7" i="4"/>
  <c r="H7" i="4" s="1"/>
  <c r="G11" i="4"/>
  <c r="H11" i="4" s="1"/>
  <c r="F44" i="4"/>
  <c r="M117" i="4"/>
  <c r="N117" i="4" s="1"/>
  <c r="L122" i="4"/>
  <c r="M123" i="4"/>
  <c r="M126" i="4"/>
  <c r="N126" i="4" s="1"/>
  <c r="M130" i="4"/>
  <c r="N130" i="4" s="1"/>
  <c r="M134" i="4"/>
  <c r="N134" i="4" s="1"/>
  <c r="M137" i="4"/>
  <c r="N137" i="4" s="1"/>
  <c r="G10" i="4"/>
  <c r="H10" i="4" s="1"/>
  <c r="G32" i="4"/>
  <c r="H32" i="4" s="1"/>
  <c r="D32" i="4" s="1"/>
  <c r="G33" i="4"/>
  <c r="H33" i="4" s="1"/>
  <c r="D33" i="4" s="1"/>
  <c r="G34" i="4"/>
  <c r="G35" i="4"/>
  <c r="H35" i="4" s="1"/>
  <c r="D35" i="4" s="1"/>
  <c r="G36" i="4"/>
  <c r="H36" i="4" s="1"/>
  <c r="D36" i="4" s="1"/>
  <c r="G37" i="4"/>
  <c r="H37" i="4" s="1"/>
  <c r="D37" i="4" s="1"/>
  <c r="G38" i="4"/>
  <c r="G39" i="4"/>
  <c r="H39" i="4" s="1"/>
  <c r="D39" i="4" s="1"/>
  <c r="G40" i="4"/>
  <c r="H40" i="4" s="1"/>
  <c r="D40" i="4" s="1"/>
  <c r="G41" i="4"/>
  <c r="H41" i="4" s="1"/>
  <c r="D41" i="4" s="1"/>
  <c r="G42" i="4"/>
  <c r="H42" i="4" s="1"/>
  <c r="D42" i="4" s="1"/>
  <c r="G43" i="4"/>
  <c r="H43" i="4" s="1"/>
  <c r="D43" i="4" s="1"/>
  <c r="M115" i="4"/>
  <c r="N115" i="4" s="1"/>
  <c r="M121" i="4"/>
  <c r="N121" i="4" s="1"/>
  <c r="N123" i="4"/>
  <c r="M125" i="4"/>
  <c r="N125" i="4" s="1"/>
  <c r="M129" i="4"/>
  <c r="N129" i="4" s="1"/>
  <c r="M133" i="4"/>
  <c r="G137" i="4"/>
  <c r="H137" i="4" s="1"/>
  <c r="M112" i="4"/>
  <c r="N112" i="4" s="1"/>
  <c r="M122" i="4" l="1"/>
  <c r="N122" i="4" s="1"/>
  <c r="L119" i="4"/>
  <c r="M118" i="4"/>
  <c r="N118" i="4" s="1"/>
  <c r="F45" i="4"/>
  <c r="G44" i="4"/>
  <c r="H44" i="4" s="1"/>
  <c r="D44" i="4" s="1"/>
  <c r="G45" i="4" l="1"/>
  <c r="H45" i="4" s="1"/>
  <c r="D45" i="4" s="1"/>
  <c r="M119" i="4"/>
  <c r="N119" i="4" s="1"/>
  <c r="L120" i="4"/>
  <c r="M120" i="4" l="1"/>
  <c r="N120" i="4"/>
  <c r="N138" i="4" s="1"/>
</calcChain>
</file>

<file path=xl/sharedStrings.xml><?xml version="1.0" encoding="utf-8"?>
<sst xmlns="http://schemas.openxmlformats.org/spreadsheetml/2006/main" count="1302" uniqueCount="809">
  <si>
    <t>m</t>
  </si>
  <si>
    <t>Argamassa</t>
  </si>
  <si>
    <t>m³</t>
  </si>
  <si>
    <t>BOMBA CENTRÍFUGA, TRIFÁSICA, 3 CV OU 2,96 HP, HM 34 A 40 M, Q 8,6 A 14,8 M3/H - FORNECIMENTO E INSTALAÇÃO. AF_12/2020</t>
  </si>
  <si>
    <t>UN</t>
  </si>
  <si>
    <t>ABRIGO PARA HIDRANTE, 90X60X17CM, COM REGISTRO GLOBO ANGULAR 45 GRAUS 2 1/2", ADAPTADOR STORZ 2 1/2", MANGUEIRA DE INCÊNDIO 20M, REDUÇÃO 2 1/2" X 1 1/2" E ESGUICHO EM LATÃO 1 1/2" - FORNECIMENTO E INSTALAÇÃO. AF_10/2020</t>
  </si>
  <si>
    <t>TAMPAO COM CORRENTE, EM LATAO, ENGATE RAPIDO 2 1/2", PARA INSTALACAO PREDIAL DE COMBATE A INCENDIO (REF SINAPI 89613)</t>
  </si>
  <si>
    <t>NIPLE, EM FERRO GALVANIZADO, DN 65 (2 1/2"), CONEXÃO ROSQUEADA, INSTALADO EM REDE DE ALIMENTAÇÃO PARA HIDRANTE - FORNECIMENTO E INSTALAÇÃO. AF_10/2020</t>
  </si>
  <si>
    <t>HIDRANTE SUBTERRÂNEO PREDIAL (COM CURVA LONGA E CAIXA), DN 75 MM - FORNECIMENTO E INSTALAÇÃO. AF_10/2020</t>
  </si>
  <si>
    <t>ADAPTADOR EM LATAO, ENGATE RAPIDO 2 1/2" X ROSCA INTERNA 2 1/2", PARA INSTALACAO PREDIAL DE COMBATE A INCENDIO (REF SINAPI 89613)</t>
  </si>
  <si>
    <t xml:space="preserve">UN </t>
  </si>
  <si>
    <t>REGISTRO DE GAVETA BRUTO, LATÃO, ROSCÁVEL, 2 1/2" - FORNECIMENTO E INSTALAÇÃO. AF_08/2021</t>
  </si>
  <si>
    <t>ESCAVAÇÃO MANUAL DE VALA COM PROFUNDIDADE MENOR OU IGUAL A 1,30 M. AF_02/2021</t>
  </si>
  <si>
    <t>VÁLVULA DE RETENÇÃO HORIZONTAL, DE BRONZE, ROSCÁVEL, 2 1/2" - FORNECIMENTO E INSTALAÇÃO. AF_08/2021</t>
  </si>
  <si>
    <t>UNIÃO, EM FERRO GALVANIZADO, DN 65 (2 1/2"), CONEXÃO ROSQUEADA, INSTALADO EM REDE DE ALIMENTAÇÃO PARA HIDRANTE - FORNECIMENTO E INSTALAÇÃO. AF_10/2020</t>
  </si>
  <si>
    <t>COTOVELO 90 GRAUS, EM FERRO GALVANIZADO, CONEXÃO ROSQUEADA, DN 65 (2 1/2), INSTALADO EM RESERVAÇÃO DE ÁGUA DE EDIFICAÇÃO QUE POSSUA RESERVATÓRIO DE FIBRA/FIBROCIMENTO  FORNECIMENTO E INSTALAÇÃO. AF_06/2016</t>
  </si>
  <si>
    <t>TÊ, EM FERRO GALVANIZADO, CONEXÃO ROSQUEADA, DN 65 (2 1/2"), INSTALADO EM REDE DE ALIMENTAÇÃO PARA HIDRANTE - FORNECIMENTO E INSTALAÇÃO. AF_10/2020</t>
  </si>
  <si>
    <t>CURVA 90 GRAUS, EM AÇO, CONEXÃO SOLDADA, DN 65 (2 1/2"), INSTALADO EM REDE DE ALIMENTAÇÃO PARA HIDRANTE - FORNECIMENTO E INSTALAÇÃO. AF_10/2020</t>
  </si>
  <si>
    <t>LUVA, EM AÇO, CONEXÃO SOLDADA, DN 65 (2 1/2"), INSTALADO EM REDE DE ALIMENTAÇÃO PARA HIDRANTE - FORNECIMENTO E INSTALAÇÃO. AF_10/2020</t>
  </si>
  <si>
    <t>TUBO DE AÇO GALVANIZADO COM COSTURA, CLASSE MÉDIA, DN 65 (2 1/2"), CONEXÃO ROSQUEADA, INSTALADO EM REDE DE ALIMENTAÇÃO PARA HIDRANTE - FORNECIMENTO E INSTALAÇÃO. AF_10/2020</t>
  </si>
  <si>
    <t>M</t>
  </si>
  <si>
    <t>LUMINÁRIA DE EMERGÊNCIA, COM 30 LÂMPADAS LED DE 2 W, SEM REATOR - FORNECIMENTO E INSTALAÇÃO. AF_02/2020</t>
  </si>
  <si>
    <t>EXTINTOR DE INCÊNDIO PORTÁTIL COM CARGA DE PQS DE 6 KG, CLASSE BC - FORNECIMENTO E INSTALAÇÃO. AF_10/2020_PE</t>
  </si>
  <si>
    <t>ACIONADOR DE BOMBA DE INCÊNDIO (BOTOEIRA TIPO LIGA E DESLIGA)</t>
  </si>
  <si>
    <t>SINALIZADOR AUDIO VISUAL</t>
  </si>
  <si>
    <t>ACIONADOR MANUAL DE ALARME CONTRA INCENDIO</t>
  </si>
  <si>
    <t>CENTRAL DE ALARME</t>
  </si>
  <si>
    <t>SINALIZAÇÃO DE EMERGÊNCIA UTILIZANDO PLACAS FOTOLUMINESCENTES PARA INDICAÇÃO DE ROTAS DE FUGA E SAÍDAS DE EMERGÊNCIA - TIPO S3, S8, S9 E S12</t>
  </si>
  <si>
    <t>SINALIZAÇÃO DE EMERGÊNCIA UTILIZANDO PLACAS FOTOLUMINESCENTES, TIPO E1, E2, E3, E4 e E5</t>
  </si>
  <si>
    <t>PINTURA DE SÍMBOLOS E TEXTOS COM TINTA ACRÍLICA, DEMARCAÇÃO COM FITA ADESIVA E APLICAÇÃO COM ROLO. AF_05/2021 (EXTINTORES)</t>
  </si>
  <si>
    <t>m²</t>
  </si>
  <si>
    <t>PINTURA DE SÍMBOLOS E TEXTOS COM TINTA ACRÍLICA, DEMARCAÇÃO COM FITA ADESIVA E APLICAÇÃO COM ROLO. AF_05/2021 (HIDRANTES)</t>
  </si>
  <si>
    <t xml:space="preserve">QUANTITATIVOS </t>
  </si>
  <si>
    <t>MOVIMENTO DE TERRA</t>
  </si>
  <si>
    <t>ATERRO MANUAL DE VALAS COM SOLO ARGILO-ARENOSO. AF_08/2023</t>
  </si>
  <si>
    <t>PISOS E CONTRAPISOS</t>
  </si>
  <si>
    <t>EXECUÇÃO DE PASSEIO (CALÇADA) OU PISO DE CONCRETO COM CONCRETO MOLDADO IN LOCO, USINADO, ACABAMENTO CONVENCIONAL, ESPESSURA 8 CM, ARMADO. AF_08/2022</t>
  </si>
  <si>
    <t>EXECUÇÃO DE PAVIMENTO EM PISO INTERTRAVADO, COM BLOCO 16 FACES DE 22 X 11 CM, ESPESSURA 10 CM. AF_10/2022</t>
  </si>
  <si>
    <t>CONTRAPISO ACÚSTICO EM ARGAMASSA PRONTA, PREPARO MECÂNICO COM MISTURADOR 300 KG, APLICADO EM ÁREAS SECAS, ACABAMENTO NÃO REFORÇADO, ESPESSURA 7CM. AF_07/2021</t>
  </si>
  <si>
    <t>CONTRAPISO COM ARGAMASSA AUTONIVELANTE, APLICADO SOBRE LAJE, ADERIDO, ESPESSURA 2CM. AF_07/2021</t>
  </si>
  <si>
    <t>REVESTIMENTO CERÂMICO PARA PISO COM PLACAS TIPO PORCELANATO DE DIMENSÕES 45X45 CM APLICADA EM DIAGONAL EM AMBIENTES DE ÁREA ENTRE 5 M² E 10 M². AF_02/2023_PE</t>
  </si>
  <si>
    <t>REVESTIMENTO CERÂMICO PARA PISO COM PLACAS TIPO PORCELANATO DE DIMENSÕES 80X80 CM APLICADA EM AMBIENTES DE ÁREA ENTRE 5 M² E 10 M². AF_02/2023_PE</t>
  </si>
  <si>
    <t>PINTURA DE DEMARCAÇÃO DE VAGA COM TINTA EPÓXI, E = 10 CM, APLICAÇÃO MANUAL. AF_05/2021</t>
  </si>
  <si>
    <t>PISO PODOTÁTIL DE ALERTA OU DIRECIONAL, DE CONCRETO, ASSENTADO SOBRE ARGAMASSA. AF_05/2023</t>
  </si>
  <si>
    <t>PAREDES E PAINÉIS</t>
  </si>
  <si>
    <t>DIVISORIA SANITÁRIA, TIPO CABINE, EM PAINEL DE GRANILITE, ESP = 3CM, ASSENTADO COM ARGAMASSA COLANTE AC III-E, EXCLUSIVE FERRAGENS. AF_01/2021</t>
  </si>
  <si>
    <t>DIVISÓRIA FIXA EM VIDRO TEMPERADO 10 MM, SEM ABERTURA. AF_01/2021_PS</t>
  </si>
  <si>
    <t>ALVENARIA DE VEDAÇÃO DE BLOCOS CERÂMICOS FURADOS NA HORIZONTAL DE 9X14X19 CM (ESPESSURA 9 CM) E ARGAMASSA DE ASSENTAMENTO COM PREPARO MANUAL. AF_12/2021</t>
  </si>
  <si>
    <t>CHAPISCO APLICADO EM ALVENARIAS E ESTRUTURAS DE CONCRETO INTERNAS, COM COLHER DE PEDREIRO.  ARGAMASSA TRAÇO 1:3 COM PREPARO EM BETONEIRA 400L. AF_10/2022</t>
  </si>
  <si>
    <t>MASSA ÚNICA, PARA RECEBIMENTO DE PINTURA, EM ARGAMASSA TRAÇO 1:2:8, PREPARO MECÂNICO COM BETONEIRA 400L, APLICADA MANUALMENTE EM FACES INTERNAS DE PAREDES, ESPESSURA DE 20MM, COM EXECUÇÃO DE TALISCAS. AF_06/2014</t>
  </si>
  <si>
    <t>PAREDE COM SISTEMA EM CHAPAS DE GESSO PARA DRYWALL, USO INTERNO COM UMA FACE SIMPLES E OUTRA FACE DUPLA E ESTRUTURA METÁLICA COM GUIAS DUPLAS, SEM VÃOS. AF_07/2023_PS</t>
  </si>
  <si>
    <t>GRADE DE PROTEÇÃO AFIXADA NO MURO DA FACHADA EM EM GRADIL FIXO DE BARRA DE FERRO CHATA 3/4" X 1/8", FERRO CHATA DE 3X1/4", CHUMBADO EM PILAR DE CONCRETO, MONTAGEM E INSTALAÇÃO E SEM PINTURA ESMALTE</t>
  </si>
  <si>
    <t>ESQUADRIAS</t>
  </si>
  <si>
    <t>PORTAS</t>
  </si>
  <si>
    <t>KIT DE PORTA DE MADEIRA PARA PINTURA, SEMI-OCA (LEVE OU MÉDIA), PADRÃO MÉDIO, 80X210CM, ESPESSURA DE 3,5CM, ITENS INCLUSOS: DOBRADIÇAS, MONTAGEM E INSTALAÇÃO DO BATENTE, FECHADURA COM EXECUÇÃO DO FURO - FORNECIMENTO E INSTALAÇÃO. AF_12/2019</t>
  </si>
  <si>
    <t>KIT DE PORTA DE MADEIRA FRISADA, SEMI-OCA (LEVE OU MÉDIA), PADRÃO POPULAR, 60X210CM, ESPESSURA DE 3CM, ITENS INCLUSOS: DOBRADIÇAS, MONTAGEM E INSTALAÇÃO DE BATENTE, FECHADURA COM EXECUÇÃO DO FURO - FORNECIMENTO E INSTALAÇÃO. AF_12/2019</t>
  </si>
  <si>
    <t>KIT DE PORTA DE MADEIRA PARA PINTURA, SEMI-OCA (LEVE OU MÉDIA), PADRÃO MÉDIO, 90X210CM, ESPESSURA DE 3,5CM, ITENS INCLUSOS: DOBRADIÇAS, MONTAGEM E INSTALAÇÃO DO BATENTE, FECHADURA COM EXECUÇÃO DO FURO - FORNECIMENTO E INSTALAÇÃO. AF_12/2019</t>
  </si>
  <si>
    <t>PORTA EM ALUMÍNIO DE ABRIR TIPO VENEZIANA COM GUARNIÇÃO, FIXAÇÃO COM PARAFUSOS - FORNECIMENTO E INSTALAÇÃO. AF_12/2019</t>
  </si>
  <si>
    <t>PORTA DE CORRER DE ALUMÍNIO, COM DUAS FOLHAS PARA VIDRO, INCLUSO VIDRO LISO INCOLOR, FECHADURA E PUXADOR, SEM ALIZAR. AF_12/2019</t>
  </si>
  <si>
    <t>PORTA DE 4 FOLHAS, 2 FIXAS E 2 CORRER, EM VIDRO REF SINAPI 100702</t>
  </si>
  <si>
    <t>PORTAO DE CORRER EM GRADIL FIXO DE BARRA DE FERRO CHATA DE 3 X 1/4" SEM REQUADRO, ACABAMENTO NATURAL, COM TRILHOS E ROLDANAS</t>
  </si>
  <si>
    <t>PORTÃO EM FERRO, DE ABRIR</t>
  </si>
  <si>
    <t>PORTA DE MADEIRA COMPENSADA LISA PARA PINTURA, 0,80X2,10M, CORRER, INCLUSO ADUELA 1A, ALIZAR 1A, TRILHO E FECHADURA - COMPLETA</t>
  </si>
  <si>
    <t>PUXADOR PARA PCD, FIXADO NA PORTA - FORNECIMENTO E INSTALAÇÃO. AF_01/2020</t>
  </si>
  <si>
    <t>JANELAS E VIDRAÇAS DA FACHADA</t>
  </si>
  <si>
    <t>JANELA FIXA DE ALUMÍNIO PARA VIDRO, COM VIDRO, BATENTE E FERRAGENS. EXCLUSIVE ACABAMENTO, ALIZAR E CONTRAMARCO. FORNECIMENTO E INSTALAÇÃO. AF_12/2019</t>
  </si>
  <si>
    <t>VIDRAÇAS DA FACHADA, COM JANELAS DE MAXIM-AIR</t>
  </si>
  <si>
    <t>REVESTIMENTOS E PINTURAS</t>
  </si>
  <si>
    <t>PINTURA INTERNA</t>
  </si>
  <si>
    <t>FUNDO SELADOR ACRÍLICO, APLICAÇÃO MANUAL EM PAREDE, UMA DEMÃO. AF_04/2023</t>
  </si>
  <si>
    <t>APLICAÇÃO MANUAL DE MASSA ACRÍLICA EM PANOS DE FACHADA COM PRESENÇA DE VÃOS, DE EDIFÍCIOS DE MÚLTIPLOS PAVIMENTOS, DUAS DEMÃOS. AF_05/2017</t>
  </si>
  <si>
    <t>APLICAÇÃO MANUAL DE TINTA LÁTEX ACRÍLICA EM PANOS COM PRESENÇA DE VÃOS DE EDIFÍCIOS DE MÚLTIPLOS PAVIMENTOS, DUAS DEMÃOS. AF_11/2016</t>
  </si>
  <si>
    <t>PINTURA EXTERNA</t>
  </si>
  <si>
    <t>REVESTIMENTO CERÂMICO</t>
  </si>
  <si>
    <t>REVESTIMENTO CERÂMICO PARA PAREDES INTERNAS COM PLACAS TIPO ESMALTADA EXTRA DE DIMENSÕES 30X40 CM APLICADAS EM AMBIENTES DE ÁREA MAIOR QUE 5 M² NA ALTURA INTEIRA DAS PAREDES. AF_06/2014</t>
  </si>
  <si>
    <t>GUARDA-CORPO E CORRIMÃO</t>
  </si>
  <si>
    <t>CORRIMÃO SIMPLES, DIÂMETRO EXTERNO = 1 1/2, EM AÇO GALVANIZADO. AF_04/2019_PS</t>
  </si>
  <si>
    <t>GUARDA-CORPO DE AÇO GALVANIZADO DE 1,10M, MONTANTES TUBULARES DE 1.1/4 ESPAÇADOS DE 1,20M, TRAVESSA SUPERIOR DE 1.1/2, GRADIL FORMADO POR TUBOS HORIZONTAIS DE 1 E VERTICAIS DE 3/4, FIXADO COM CHUMBADOR MECÂNICO. AF_04/2019_PS</t>
  </si>
  <si>
    <t>FORRO</t>
  </si>
  <si>
    <t>FORRO EM PLACAS DE GESSO, PARA AMBIENTES COMERCIAIS. AF_08/2023_PS</t>
  </si>
  <si>
    <t>TELHADO</t>
  </si>
  <si>
    <t>RUFO EM CHAPA DE AÇO GALVANIZADO NÚMERO 24, CORTE DE 25 CM, INCLUSO TRANSPORTE VERTICAL. AF_07/2019</t>
  </si>
  <si>
    <t>PINGADEIRA CONCRETO PARA TOPO DE MUROS E PLATIBANDAS 0,18m</t>
  </si>
  <si>
    <t>FABRICAÇÃO E INSTALAÇÃO DE MEIA TESOURA DE MADEIRA NÃO APARELHADA, COM VÃO DE 8 M, PARA TELHA ONDULADA DE FIBROCIMENTO, ALUMÍNIO, PLÁSTICA OU TERMOACÚSTICA, INCLUSO IÇAMENTO. AF_07/2019</t>
  </si>
  <si>
    <t>FABRICAÇÃO E INSTALAÇÃO DE MEIA TESOURA DE MADEIRA NÃO APARELHADA, COM VÃO DE 7 M, PARA TELHA ONDULADA DE FIBROCIMENTO, ALUMÍNIO, PLÁSTICA OU TERMOACÚSTICA, INCLUSO IÇAMENTO. AF_07/2019</t>
  </si>
  <si>
    <t>FABRICAÇÃO E INSTALAÇÃO DE MEIA TESOURA DE MADEIRA NÃO APARELHADA, COM VÃO DE 3 M, PARA TELHA ONDULADA DE FIBROCIMENTO, ALUMÍNIO, PLÁSTICA OU TERMOACÚSTICA, INCLUSO IÇAMENTO. AF_07/2019</t>
  </si>
  <si>
    <t>FABRICAÇÃO E INSTALAÇÃO DE MEIA TESOURA DE MADEIRA NÃO APARELHADA, COM VÃO DE 4 M, PARA TELHA ONDULADA DE FIBROCIMENTO, ALUMÍNIO, PLÁSTICA OU TERMOACÚSTICA, INCLUSO IÇAMENTO. AF_07/2019</t>
  </si>
  <si>
    <t>Copia da SINAPI (94216) - TELHAMENTO COM TELHA METÁLICA, COM ATÉ 2 ÁGUAS, INCLUSO IÇAMENTO. AF_07/2019</t>
  </si>
  <si>
    <t>PINTURA DUAS DEMAOS TINTA ESMALTE EM SUPERFICIE METALICA COR BRANCA (telhado)</t>
  </si>
  <si>
    <t>ACESSÓRIOS</t>
  </si>
  <si>
    <t>PORTA PAPEL TOALHA EM PLÁSTICO ABS COM ACRÍLICO</t>
  </si>
  <si>
    <t>SABONETEIRA PLASTICA TIPO DISPENSER PARA SABONETE LIQUIDO COM RESERVATORIO 800 A 1500 ML, INCLUSO FIXAÇÃO. AF_01/2020</t>
  </si>
  <si>
    <t>PAPELEIRA DE PAREDE EM METAL CROMADO SEM TAMPA, INCLUSO FIXAÇÃO. AF_01/2020</t>
  </si>
  <si>
    <t>BARRA DE APOIO RETA, EM ACO INOX POLIDO, COMPRIMENTO 80 CM,  FIXADA NA PAREDE - FORNECIMENTO E INSTALAÇÃO. AF_01/2020</t>
  </si>
  <si>
    <t>BARRA DE APOIO RETA, EM ACO INOX POLIDO, COMPRIMENTO 70 CM,  FIXADA NA PAREDE - FORNECIMENTO E INSTALAÇÃO. AF_01/2020</t>
  </si>
  <si>
    <t>BARRA DE APOIO RETA, EM ACO INOX POLIDO, COMPRIMENTO 60CM, FIXADA NA PAREDE - FORNECIMENTO E INSTALAÇÃO. AF_01/2020</t>
  </si>
  <si>
    <t>ELEVADOR</t>
  </si>
  <si>
    <t>ELEVADOR EM AÇO INOX - SEM CASA DE MÁQUINAS</t>
  </si>
  <si>
    <t>LETREIROS</t>
  </si>
  <si>
    <t>LETREIRO PARA FACHADA EM ACM</t>
  </si>
  <si>
    <t>PAISAGISMO</t>
  </si>
  <si>
    <t>SERVIÇO DE FORNECIMENTO E PLANTIO DE VEGETAÇÕES CONFORME PROJETO</t>
  </si>
  <si>
    <t>Pele de vidro e esquadrias da fachada</t>
  </si>
  <si>
    <t>1.1</t>
  </si>
  <si>
    <t>2.1</t>
  </si>
  <si>
    <t>2.2</t>
  </si>
  <si>
    <t>2.3</t>
  </si>
  <si>
    <t>2.4</t>
  </si>
  <si>
    <t>2.5</t>
  </si>
  <si>
    <t>2.6</t>
  </si>
  <si>
    <t>2.7</t>
  </si>
  <si>
    <t>2.8</t>
  </si>
  <si>
    <t>3.1</t>
  </si>
  <si>
    <t>3.2</t>
  </si>
  <si>
    <t>3.3</t>
  </si>
  <si>
    <t>3.4</t>
  </si>
  <si>
    <t>3.5</t>
  </si>
  <si>
    <t>3.6</t>
  </si>
  <si>
    <t>3.7</t>
  </si>
  <si>
    <t>4.1</t>
  </si>
  <si>
    <t>5.1</t>
  </si>
  <si>
    <t>5.2</t>
  </si>
  <si>
    <t>6.1</t>
  </si>
  <si>
    <t>6.2</t>
  </si>
  <si>
    <t>6.3</t>
  </si>
  <si>
    <t>6.1.1</t>
  </si>
  <si>
    <t>6.1.2</t>
  </si>
  <si>
    <t>6.1.3</t>
  </si>
  <si>
    <t>6.2.1</t>
  </si>
  <si>
    <t>6.2.2</t>
  </si>
  <si>
    <t>6.2.3</t>
  </si>
  <si>
    <t>4.1.1</t>
  </si>
  <si>
    <t>4.1.2</t>
  </si>
  <si>
    <t>4.1.3</t>
  </si>
  <si>
    <t>4.1.4</t>
  </si>
  <si>
    <t>4.1.5</t>
  </si>
  <si>
    <t>4.1.6</t>
  </si>
  <si>
    <t>4.1.7</t>
  </si>
  <si>
    <t>4.1.8</t>
  </si>
  <si>
    <t>4.1.9</t>
  </si>
  <si>
    <t>4.1.10</t>
  </si>
  <si>
    <t>4.1.11</t>
  </si>
  <si>
    <t>7.1</t>
  </si>
  <si>
    <t>7.2</t>
  </si>
  <si>
    <t>8.1</t>
  </si>
  <si>
    <t>9.1</t>
  </si>
  <si>
    <t>9.2</t>
  </si>
  <si>
    <t>9.3</t>
  </si>
  <si>
    <t>9.4</t>
  </si>
  <si>
    <t>9.5</t>
  </si>
  <si>
    <t>9.6</t>
  </si>
  <si>
    <t>9.7</t>
  </si>
  <si>
    <t>9.8</t>
  </si>
  <si>
    <t>10.1</t>
  </si>
  <si>
    <t>10.2</t>
  </si>
  <si>
    <t>10.3</t>
  </si>
  <si>
    <t>10.4</t>
  </si>
  <si>
    <t>10.5</t>
  </si>
  <si>
    <t>10.6</t>
  </si>
  <si>
    <t>11.1</t>
  </si>
  <si>
    <t>12.1</t>
  </si>
  <si>
    <t>13.1</t>
  </si>
  <si>
    <t>13.2</t>
  </si>
  <si>
    <t>ITEM</t>
  </si>
  <si>
    <t>INSUMO</t>
  </si>
  <si>
    <t>UNIDADE</t>
  </si>
  <si>
    <t>QUANTIDADE
TOTAL</t>
  </si>
  <si>
    <t>MATERIAL - INSTALAÇÕES ELETRICAS</t>
  </si>
  <si>
    <t>INFRAESTRUTURA - ELETRICA</t>
  </si>
  <si>
    <t>1.1.1</t>
  </si>
  <si>
    <t>Eletroduto flexível corrugado 3/4", em PVC na cor amarelo antichamas, conforme NBR15465</t>
  </si>
  <si>
    <t>metro</t>
  </si>
  <si>
    <t>1.1.2</t>
  </si>
  <si>
    <t>Eletroduto flexível corrugado 1", em PVC na cor amarelo antichamas, conforme NBR15465</t>
  </si>
  <si>
    <t>1.1.3</t>
  </si>
  <si>
    <t>Eletroduto flexível corrugado 2", em PVC na cor amarelo antichamas, conforme NBR15465</t>
  </si>
  <si>
    <t>1.1.4</t>
  </si>
  <si>
    <t>Eletroduto flexível corrugado 1.1/2", em PVC na cor amarelo antichamas, conforme NBR15465</t>
  </si>
  <si>
    <t>1.1.5</t>
  </si>
  <si>
    <t>Eletroduto flexível REFORÇADO corrugado 3/4", em PVC na cor Laranja antichamas, conforme NBR15465</t>
  </si>
  <si>
    <t>1.1.6</t>
  </si>
  <si>
    <t>Eletroduto flexível REFORÇADO 1", em PVC na cor amarelo antichamas, conforme NBR15465</t>
  </si>
  <si>
    <t>1.1.7</t>
  </si>
  <si>
    <t>Eletroduto flexível P.E.A.D 3", em PVC na cor Cciza antichamas, conforme NBR15465</t>
  </si>
  <si>
    <t>1.1.8</t>
  </si>
  <si>
    <t>Eletroduto flexível P.E.A.D 1.1/4", em PVC na cor Cinza antichamas</t>
  </si>
  <si>
    <t>1.1.9</t>
  </si>
  <si>
    <t>Caixa metalica quadrada 4x4" de embutir</t>
  </si>
  <si>
    <t>un</t>
  </si>
  <si>
    <t>1.1.10</t>
  </si>
  <si>
    <t>Caixa pvc Retangular 4x2" de embutir</t>
  </si>
  <si>
    <t>1.1.11</t>
  </si>
  <si>
    <t>Caixa de Passagem 10x10</t>
  </si>
  <si>
    <t>1.1.12</t>
  </si>
  <si>
    <t>Caixa de Passagem 20x20</t>
  </si>
  <si>
    <t>1.1.13</t>
  </si>
  <si>
    <t>Caixa pcv octogonal fundo móvel</t>
  </si>
  <si>
    <t>1.2</t>
  </si>
  <si>
    <t>CABEAMENTO</t>
  </si>
  <si>
    <t>1.2.1</t>
  </si>
  <si>
    <t>Cabo De Cobre Flexível Bwf 750V Antichamas 1,5mm² , Cor:Vermelho</t>
  </si>
  <si>
    <t>1.2.2</t>
  </si>
  <si>
    <t>Cabo De Cobre Flexível Bwf 750V Antichamas 1,5mm² , Cor: Azul</t>
  </si>
  <si>
    <t>1.2.3</t>
  </si>
  <si>
    <t>Cabo De Cobre Flexível Bwf 750V Antichamas 1,5mm² , Cor: Amarelo</t>
  </si>
  <si>
    <t>1.2.4</t>
  </si>
  <si>
    <t>Cabo De Cobre Flexível Bwf 750V Antichamas 2,5mm² , Cor:Preto</t>
  </si>
  <si>
    <t>1.2.5</t>
  </si>
  <si>
    <t>Cabo De Cobre Flexível Bwf 750V Antichamas 2,5mm² , Cor: Azul</t>
  </si>
  <si>
    <t>1.2.6</t>
  </si>
  <si>
    <t>Cabo De Cobre Flexível Bwf 750V Antichamas 2,5mm² , Cor: Verde</t>
  </si>
  <si>
    <t>1.2.7</t>
  </si>
  <si>
    <t>Cabo De Cobre Flexível Bwf 750V Antichamas 4mm² , Cor:Branco</t>
  </si>
  <si>
    <t>1.2.8</t>
  </si>
  <si>
    <t>Cabo De Cobre Flexível Bwf 750V Antichamas 4mm² , Cor: Azul</t>
  </si>
  <si>
    <t>1.2.9</t>
  </si>
  <si>
    <t>Cabo De Cobre Flexível Bwf 750V Antichamas 4mm² , Cor: Verde</t>
  </si>
  <si>
    <t>1.2.10</t>
  </si>
  <si>
    <t>Cabo De Cobre Flexível Bwf 750V Antichamas 6mm² , Cor:Vermelho</t>
  </si>
  <si>
    <t>1.2.11</t>
  </si>
  <si>
    <t>Cabo De Cobre Flexível Bwf 750V Antichamas 6mm² , Cor: Azul</t>
  </si>
  <si>
    <t>1.2.12</t>
  </si>
  <si>
    <t>Cabo De Cobre Flexível Bwf 750V Antichamas 6mm² , Cor: Verde</t>
  </si>
  <si>
    <t>1.2.13</t>
  </si>
  <si>
    <t>Cabo De Cobre Flexível Bwf 1KV Antichamas 10mm² , Cor: Preto</t>
  </si>
  <si>
    <t>1.2.14</t>
  </si>
  <si>
    <t>Cabo De Cobre Flexível Bwf 1KV Antichamas 10mm² , Cor: Azul</t>
  </si>
  <si>
    <t>1.2.15</t>
  </si>
  <si>
    <t>Cabo De Cobre Flexível Bwf 1KV Antichamas 10mm² , Cor: Verde</t>
  </si>
  <si>
    <t>1.2.16</t>
  </si>
  <si>
    <t>Cabo De Cobre Flexível Bwf 1KV Antichamas 25mm² , Cor: Preto</t>
  </si>
  <si>
    <t>1.2.17</t>
  </si>
  <si>
    <t>Cabo De Cobre Flexível Bwf 1KV Antichamas 25mm² , Cor: Azul</t>
  </si>
  <si>
    <t>1.2.18</t>
  </si>
  <si>
    <t>Cabo De Cobre Flexível Bwf 1KV Antichamas 16mm² , Cor: Verde</t>
  </si>
  <si>
    <t>1.2.19</t>
  </si>
  <si>
    <t>Cabo De Cobre Flexível Bwf 1KV Antichamas 16mm² , Cor: Preto</t>
  </si>
  <si>
    <t>1.2.20</t>
  </si>
  <si>
    <t>Cabo De Cobre Flexível Bwf 1KV Antichamas 16mm² , Cor: Azul</t>
  </si>
  <si>
    <t>1.2.21</t>
  </si>
  <si>
    <t>Cabo De Cobre Flexível Bwf 1KV Antichamas 70mm² , Cor: Preto</t>
  </si>
  <si>
    <t>1.2.22</t>
  </si>
  <si>
    <t>Cabo De Cobre Flexível Bwf 1KV Antichamas 70mm² , Cor: Azul</t>
  </si>
  <si>
    <t>1.2.23</t>
  </si>
  <si>
    <t>Cabo De Cobre Flexível Bwf 1KV Antichamas 70mm² , Cor: Verde</t>
  </si>
  <si>
    <t>1.2.24</t>
  </si>
  <si>
    <t>Cabo De Cobre Flexível Bwf 1KV Antichamas 6mm² , Cor: Preto</t>
  </si>
  <si>
    <t>1.2.25</t>
  </si>
  <si>
    <t>Cabo De Cobre Flexível Bwf 1KV Antichamas 6mm² , Cor: Azul</t>
  </si>
  <si>
    <t>1.2.26</t>
  </si>
  <si>
    <t>Cabo De Cobre Flexível Bwf 1KV Antichamas 6mm² , Cor: Verde</t>
  </si>
  <si>
    <t>1.2.27</t>
  </si>
  <si>
    <t>Fita Isolante 19mmx20M</t>
  </si>
  <si>
    <t>1.3</t>
  </si>
  <si>
    <t>ACABAMENTO</t>
  </si>
  <si>
    <t>1.3.1</t>
  </si>
  <si>
    <t>Interruptor Simples com Espelho</t>
  </si>
  <si>
    <t>1.3.2</t>
  </si>
  <si>
    <t>Interruptor Paralelo com Espelho</t>
  </si>
  <si>
    <t>1.3.3</t>
  </si>
  <si>
    <t>Conj. De 2 Interruptores Simples com Espelho</t>
  </si>
  <si>
    <t>1.3.4</t>
  </si>
  <si>
    <t>Conj. De 3 Interruptores Simples com Espelho</t>
  </si>
  <si>
    <t>1.3.5</t>
  </si>
  <si>
    <t>Conj. De 4 Interruptores Simples com Espelho</t>
  </si>
  <si>
    <t>1.3.6</t>
  </si>
  <si>
    <t>Conj. De 2 Interruptores Paralelo com Espelho</t>
  </si>
  <si>
    <t>1.3.7</t>
  </si>
  <si>
    <t>Conj. De 3 Interruptores Paralelo com Espelho</t>
  </si>
  <si>
    <t>1.3.8</t>
  </si>
  <si>
    <t>Réle foto eletrico</t>
  </si>
  <si>
    <t>1.3.9</t>
  </si>
  <si>
    <t>Tomada de Piso se 2Pinos + T com espelho: 10A</t>
  </si>
  <si>
    <t>1.3.10</t>
  </si>
  <si>
    <t>Tomada Universal De 2 Pinos + T com Espelho: 10A</t>
  </si>
  <si>
    <t>1.3.11</t>
  </si>
  <si>
    <t>Tomada Universal De 2 Pinos + T com Espelho: 20A</t>
  </si>
  <si>
    <t>1.3.12</t>
  </si>
  <si>
    <t>Tomada Universal De 2 Pinos + T dupla com Espelho: 10A</t>
  </si>
  <si>
    <t>1.3.13</t>
  </si>
  <si>
    <t>Tomada Universal De 2 Pinos + T dupla com Espelho: 20A</t>
  </si>
  <si>
    <t>1.3.14</t>
  </si>
  <si>
    <t>Arandela Tataruga para uma Lâmpada E25, 6500K luz branco frio</t>
  </si>
  <si>
    <t>1.3.15</t>
  </si>
  <si>
    <t>Luminaria calha comercial aletada de embutir 62x62 com 4 Lâmpadas de Led Tubular T8 4X9w Bivolt, 6500K luz branco frio</t>
  </si>
  <si>
    <t>1.3.16</t>
  </si>
  <si>
    <t>Painel Plafon Led 12W de embutir quadrado 17cm, Bivolt, 6500K luz branco frio</t>
  </si>
  <si>
    <t>1.3.17</t>
  </si>
  <si>
    <t>Spot de embutir Led Redondo 13cm, 15W Bivolt, Branco</t>
  </si>
  <si>
    <t>1.3.18</t>
  </si>
  <si>
    <t>Spot de embutir Led Redondo 13cm, 5W Bivolt, Branco</t>
  </si>
  <si>
    <t>1.3.19</t>
  </si>
  <si>
    <t>Luminária lustre led de teto Brinovar Pendente LED 3 anéis cor dourado 110V/220V por 1 unidade</t>
  </si>
  <si>
    <t>1.3.20</t>
  </si>
  <si>
    <t>Perfil de embutir linear 200x2,36x0,7cm aluminio branco</t>
  </si>
  <si>
    <t>1.3.21</t>
  </si>
  <si>
    <t xml:space="preserve">Poste De Iluminação H = 5Metros Contendo: Luminaria, Braço Para Luminária, Rele Fotoeletrico E Base Do Poste. </t>
  </si>
  <si>
    <t>1.4</t>
  </si>
  <si>
    <t>QUADROS</t>
  </si>
  <si>
    <t>QDC1</t>
  </si>
  <si>
    <t>QDC2</t>
  </si>
  <si>
    <t>QDC3</t>
  </si>
  <si>
    <t>QDC4</t>
  </si>
  <si>
    <t>QDC5</t>
  </si>
  <si>
    <t>QDC6</t>
  </si>
  <si>
    <t>QDC7</t>
  </si>
  <si>
    <t>TOTAL</t>
  </si>
  <si>
    <t>1.4.1</t>
  </si>
  <si>
    <t>Quadro de Distribuição 40 Disjuntores, de embutir, fabricado em Metal, com barramento de terra e neutro</t>
  </si>
  <si>
    <t>1.4.2</t>
  </si>
  <si>
    <t>Quadro de Distribuição 24 Disjuntores, de embutir, fabricado em Metal, com barramento de terra e neutro</t>
  </si>
  <si>
    <t>1.4.3</t>
  </si>
  <si>
    <t>DPS - Disjuntor de proteção contra surtos, monopolar, tensão nominal de operação UO 127/220V, máxima tensão de operação continua UC= 275 V, corrente de descarga máxima= 40kA, fixação em trilho DIN 35mm</t>
  </si>
  <si>
    <t>1.4.4</t>
  </si>
  <si>
    <t>IDR Interruptor Diferencial Residual Tetrapolar In=63A, 30mA</t>
  </si>
  <si>
    <t>1.4.5</t>
  </si>
  <si>
    <t>IDR Interruptor Diferencial Residual Tetrapolar In=80A, 30mA</t>
  </si>
  <si>
    <t>1.4.6</t>
  </si>
  <si>
    <t>Mini Disjuntor Bipolar 16A Curva C, conforme ABNT NBR NM 60898</t>
  </si>
  <si>
    <t>1.4.7</t>
  </si>
  <si>
    <t>Mini Disjuntor Tripolar 300A Curva C, conforme ABNT NBR NM 60898</t>
  </si>
  <si>
    <t>1.4.8</t>
  </si>
  <si>
    <t>Mini Disjuntor Tripolar 150A Curva C, conforme ABNT NBR NM 60898</t>
  </si>
  <si>
    <t>1.4.9</t>
  </si>
  <si>
    <t>Mini Disjuntor Tripolar 80A Curva C, conforme ABNT NBR NM 60898</t>
  </si>
  <si>
    <t>1.4.10</t>
  </si>
  <si>
    <t>Mini Disjuntor Tripolar 63A Curva C, conforme ABNT NBR NM 60898</t>
  </si>
  <si>
    <t>1.4.11</t>
  </si>
  <si>
    <t>Mini Disjuntor Tripolar 32A Curva C, conforme ABNT NBR NM 60898</t>
  </si>
  <si>
    <t>1.4.12</t>
  </si>
  <si>
    <t>Mini Disjuntor Tripolar 25A Curva C, conforme ABNT NBR NM 60898</t>
  </si>
  <si>
    <t>1.4.13</t>
  </si>
  <si>
    <t>Mini Disjuntor Tripolar 16A Curva C, conforme ABNT NBR NM 60898</t>
  </si>
  <si>
    <t>1.4.14</t>
  </si>
  <si>
    <t>Mini Disjuntor Monopolar 16A Curva C, conforme ABNT NBR NM 60898</t>
  </si>
  <si>
    <t>1.4.15</t>
  </si>
  <si>
    <t>Mini Disjuntor Monopolar 20A Curva C, conforme ABNT NBR NM 60898</t>
  </si>
  <si>
    <t>1.4.16</t>
  </si>
  <si>
    <t>Terminal ilhos Tubular Isolado 1,5mm, pacote com 50</t>
  </si>
  <si>
    <t>1.4.17</t>
  </si>
  <si>
    <t>Terminal ilhos Tubular Isolado 2,5mm, pacote com 100</t>
  </si>
  <si>
    <t>1.4.18</t>
  </si>
  <si>
    <t>Terminal ilhos Tubular Isolado 4mm</t>
  </si>
  <si>
    <t>1.4.19</t>
  </si>
  <si>
    <t>Terminal ilhos Tubular Isolado 6mm</t>
  </si>
  <si>
    <t>1.4.20</t>
  </si>
  <si>
    <t>Terminal ilhos Tubular Isolado 10mm</t>
  </si>
  <si>
    <t>1.4.21</t>
  </si>
  <si>
    <t>Terminal ilhos Tubular Isolado 16mm</t>
  </si>
  <si>
    <t>1.4.22</t>
  </si>
  <si>
    <t>Terminal ilhos Tubular Isolado 25mm</t>
  </si>
  <si>
    <t>1.4.23</t>
  </si>
  <si>
    <t>Terminal ilhos Tubular Isolado 70mm</t>
  </si>
  <si>
    <t>MATERIAL - CABEAMENTO ESTRUTURADO</t>
  </si>
  <si>
    <t>TERREO</t>
  </si>
  <si>
    <t>1 PVTO</t>
  </si>
  <si>
    <t>2 PVTO</t>
  </si>
  <si>
    <t>DVR Intelbras 32 Canais Full HD 1080p Inteligência Artificial MHDX 3016-C</t>
  </si>
  <si>
    <t>Fonte Chaveada 12V 15A Tipo Colmeia Ideal para CFTV</t>
  </si>
  <si>
    <t>HDs 1 Terabyte</t>
  </si>
  <si>
    <t>Régua Extensão Rack 19 1u 8 Tomadas 10a Bivolt</t>
  </si>
  <si>
    <t>Swith 32 Portas</t>
  </si>
  <si>
    <t>Swith 48 Portas</t>
  </si>
  <si>
    <t xml:space="preserve">Patch Panel 32 portas Carregado  </t>
  </si>
  <si>
    <t xml:space="preserve">Patch Panel 48 portas Carregado  </t>
  </si>
  <si>
    <t>2.9</t>
  </si>
  <si>
    <t>Rack 12U</t>
  </si>
  <si>
    <t>2.10</t>
  </si>
  <si>
    <t>BANDEJA FIXA 250MM/RACK PADRÃO 19 PRETA / 2 PONTOS DE FIXAÇÃO</t>
  </si>
  <si>
    <t>2.11</t>
  </si>
  <si>
    <t>Tampa 4x2 em PVC para 2 conectores sendo 1 femea RJ45 e 1 RJ11</t>
  </si>
  <si>
    <t>2.12</t>
  </si>
  <si>
    <t>Tampa 4x2 em PVC para 1 conector femea RJ45</t>
  </si>
  <si>
    <t>2.13</t>
  </si>
  <si>
    <t>Modulo femea RJ45</t>
  </si>
  <si>
    <t>2.14</t>
  </si>
  <si>
    <t>Modulo femea RJ11</t>
  </si>
  <si>
    <t>2.15</t>
  </si>
  <si>
    <t>Tampa 4x4 em metal para 1 conector femea RJ45 e 1 conector femea RJ11</t>
  </si>
  <si>
    <t>2.16</t>
  </si>
  <si>
    <t>2.17</t>
  </si>
  <si>
    <t>Caixa pvc Retangular 4x2"</t>
  </si>
  <si>
    <t>2.18</t>
  </si>
  <si>
    <t>Conector RJ45, Cat 6</t>
  </si>
  <si>
    <t>C1</t>
  </si>
  <si>
    <t>2.19</t>
  </si>
  <si>
    <t>Cabo Coaxial Flexível 85% Malha</t>
  </si>
  <si>
    <t>C2</t>
  </si>
  <si>
    <t>2.20</t>
  </si>
  <si>
    <t>Cabo UTP 4 Pares, Cat 6</t>
  </si>
  <si>
    <t>C3</t>
  </si>
  <si>
    <t>2.21</t>
  </si>
  <si>
    <t xml:space="preserve">Câmeras Bullet Infravermelho Multi HD VHD 1220 B G6 Full HD 1080p </t>
  </si>
  <si>
    <t>C4</t>
  </si>
  <si>
    <t>2.22</t>
  </si>
  <si>
    <t>Conectores BNC Macho com Mola de parafuso</t>
  </si>
  <si>
    <t>C5</t>
  </si>
  <si>
    <t>2.23</t>
  </si>
  <si>
    <t>Conectores P4 de Borne para Alimentação 12V</t>
  </si>
  <si>
    <t>C6</t>
  </si>
  <si>
    <t>2.24</t>
  </si>
  <si>
    <t>Eletroduto flexível corrugado Reforçado 3/4",  em PVC na cor laranja antichamas, conforme NBR15465</t>
  </si>
  <si>
    <t>C7</t>
  </si>
  <si>
    <t>2.25</t>
  </si>
  <si>
    <t>Eletroduto flexível corrugado 1",  em PVC na cor laranja antichamas, conforme NBR15465</t>
  </si>
  <si>
    <t>C8</t>
  </si>
  <si>
    <t>2.26</t>
  </si>
  <si>
    <t>C9</t>
  </si>
  <si>
    <t>2.27</t>
  </si>
  <si>
    <t>Caixa de passagem 40x40</t>
  </si>
  <si>
    <t>C10</t>
  </si>
  <si>
    <t>2.28</t>
  </si>
  <si>
    <t>Caixa de passagem 30x30</t>
  </si>
  <si>
    <t>C11</t>
  </si>
  <si>
    <t>2.29</t>
  </si>
  <si>
    <t>Caixa de passagem 20x20</t>
  </si>
  <si>
    <t>C12</t>
  </si>
  <si>
    <t>SPDA - SISTEMA DE PROTEÇÃO CONTRA DESCARGA ATMOSFERICA</t>
  </si>
  <si>
    <t>C13</t>
  </si>
  <si>
    <t>SPDA - MALHA INFERIOR</t>
  </si>
  <si>
    <t>C14</t>
  </si>
  <si>
    <t>3.1.1</t>
  </si>
  <si>
    <t>Cabo De Cobre Nu 50mm² (7 Fios 3mm), Modelo - Tel-5750</t>
  </si>
  <si>
    <t>C15</t>
  </si>
  <si>
    <t>3.1.2</t>
  </si>
  <si>
    <t>Caixa De Inspeção Tipo Solo Em Pvc 30X30Cm Com Tampa De Ferro Fundido</t>
  </si>
  <si>
    <t>C16</t>
  </si>
  <si>
    <t>3.1.3</t>
  </si>
  <si>
    <t>Haste De Aterramento Tipo  Coppeweld Alta Camada  (254 Microns) ∅5/8" X 2,40M, Modelo Tel-5814</t>
  </si>
  <si>
    <t>C17</t>
  </si>
  <si>
    <t>3.1.4</t>
  </si>
  <si>
    <t>Conector Minigar Estanhado 5/8" x 3/4", Modelo: TEL 583</t>
  </si>
  <si>
    <t>C18</t>
  </si>
  <si>
    <t>SPDA - SUBSISTEMA DE DESCIDA</t>
  </si>
  <si>
    <t>C19</t>
  </si>
  <si>
    <t>3.2.1</t>
  </si>
  <si>
    <t>Eletroduto De Pvc Dimensões: ∅1", 3M</t>
  </si>
  <si>
    <t>C20</t>
  </si>
  <si>
    <t>3.2.2</t>
  </si>
  <si>
    <t>Cabo De Cobre Nu 35mm² (7 Fios de 3mm cada)</t>
  </si>
  <si>
    <t>Metro</t>
  </si>
  <si>
    <t>C21</t>
  </si>
  <si>
    <t>3.2.3</t>
  </si>
  <si>
    <t>Abraçadeira Galvanizada Tipo Colar 1" Com Bucha e Parafuso de Fixação</t>
  </si>
  <si>
    <t>C22</t>
  </si>
  <si>
    <t>Kit Condulete de Inspeção Suspenso</t>
  </si>
  <si>
    <t>C23</t>
  </si>
  <si>
    <t>3.4.1</t>
  </si>
  <si>
    <t>Caixa De Inspeção Suspensa De Pvc, Modelo TEL-541</t>
  </si>
  <si>
    <t>C24</t>
  </si>
  <si>
    <t>3.4.2</t>
  </si>
  <si>
    <t>Conector de medição em ltão com 4 parafusos, Modelo TEL-560</t>
  </si>
  <si>
    <t>C25</t>
  </si>
  <si>
    <t>SPDA - MALHA SUPERIOR</t>
  </si>
  <si>
    <t>C27</t>
  </si>
  <si>
    <t>3.3.1</t>
  </si>
  <si>
    <t>C28</t>
  </si>
  <si>
    <t>3.3.2</t>
  </si>
  <si>
    <t>Fixador Universal de SPDA, Modelo: Tel 5024</t>
  </si>
  <si>
    <t>3.3.3</t>
  </si>
  <si>
    <t>Kit Minicaptor</t>
  </si>
  <si>
    <t>3.3.3.1</t>
  </si>
  <si>
    <t>Minicaptor de inserção diametro nominal 10mm, altura 300mm, Modelo Tel 5124</t>
  </si>
  <si>
    <t>3.3.3.2</t>
  </si>
  <si>
    <t>MATERIAL - ENERGIA SOLAR</t>
  </si>
  <si>
    <t>KIT Solar de Potencia 50KW de inversor e 63,28KW de modulo (o kit devera conter os 113 modulos, 1 Inversor, estrutura para fixação em telha metalica, cabeamento eletrico, Strink Box, DTU (para monitoramento da geração solar e mão de obra de execução do sistema))</t>
  </si>
  <si>
    <t>QUANTITATIVOS</t>
  </si>
  <si>
    <t xml:space="preserve"> 1 </t>
  </si>
  <si>
    <t>FUNDAÇÕES</t>
  </si>
  <si>
    <t xml:space="preserve"> 1.1 </t>
  </si>
  <si>
    <t>ESTACAS</t>
  </si>
  <si>
    <t>AÇO CA-50 DE 6.3 MM</t>
  </si>
  <si>
    <t>KG</t>
  </si>
  <si>
    <t>AÇO CA-50 DE 12.5 MM</t>
  </si>
  <si>
    <t>VOLUME TOTAL DE CONCRETO FCK = 25MPA</t>
  </si>
  <si>
    <t>FUNDAÇÕES BLOCOS E VIGAS DE EQUILÍBRIO</t>
  </si>
  <si>
    <t>AÇO CA-50 DE 8.0 MM</t>
  </si>
  <si>
    <t>AÇO CA-50 DE 10.0 MM</t>
  </si>
  <si>
    <t>AÇO CA-50 DE 16 MM</t>
  </si>
  <si>
    <t>AÇO CA-50 DE 20 MM</t>
  </si>
  <si>
    <t>AÇO CA-50 DE 25 MM</t>
  </si>
  <si>
    <t>PILARES</t>
  </si>
  <si>
    <t>AÇO CA-50 DE 8 MM</t>
  </si>
  <si>
    <t>VOLUME TOTAL DE CONCRETO FCK = 20MPA</t>
  </si>
  <si>
    <t>FORMAS</t>
  </si>
  <si>
    <t>VIGAS</t>
  </si>
  <si>
    <t>AÇO CA-50 DE 5.0 MM</t>
  </si>
  <si>
    <t>Estacas</t>
  </si>
  <si>
    <t>un.</t>
  </si>
  <si>
    <t>PF=</t>
  </si>
  <si>
    <t>L TOTAL</t>
  </si>
  <si>
    <t>D=</t>
  </si>
  <si>
    <t>AREA=</t>
  </si>
  <si>
    <t>m²/estaca</t>
  </si>
  <si>
    <t>C25 m³</t>
  </si>
  <si>
    <t>m³/totais</t>
  </si>
  <si>
    <t>Aço Estacas</t>
  </si>
  <si>
    <t>8mm</t>
  </si>
  <si>
    <t>por estaca</t>
  </si>
  <si>
    <t>5mm</t>
  </si>
  <si>
    <t>total estc</t>
  </si>
  <si>
    <t>6x8mm</t>
  </si>
  <si>
    <t>kg</t>
  </si>
  <si>
    <t>estrib. 5mm</t>
  </si>
  <si>
    <t>agulhas</t>
  </si>
  <si>
    <t>2x10mm</t>
  </si>
  <si>
    <t>Cinta</t>
  </si>
  <si>
    <t>10mm</t>
  </si>
  <si>
    <t>graute</t>
  </si>
  <si>
    <t>Baldrame</t>
  </si>
  <si>
    <t>4x10mm</t>
  </si>
  <si>
    <t>Blocos</t>
  </si>
  <si>
    <t>19X19X39</t>
  </si>
  <si>
    <t>19X19X19</t>
  </si>
  <si>
    <t>Canaleta</t>
  </si>
  <si>
    <t>Textura</t>
  </si>
  <si>
    <t xml:space="preserve">QUANTITATIVOS MURO DE BLOCOS </t>
  </si>
  <si>
    <t>AÇO CA-50 DE 4.2 MM</t>
  </si>
  <si>
    <t>LAJES</t>
  </si>
  <si>
    <t>QUANTITATIVOS CONCRETO</t>
  </si>
  <si>
    <t>Material</t>
  </si>
  <si>
    <t>Série</t>
  </si>
  <si>
    <t>Perfil</t>
  </si>
  <si>
    <t>Comprimento</t>
  </si>
  <si>
    <t>Volume</t>
  </si>
  <si>
    <t>Peso</t>
  </si>
  <si>
    <t>Tipo</t>
  </si>
  <si>
    <t>Designação</t>
  </si>
  <si>
    <t>(m)</t>
  </si>
  <si>
    <t>(m³)</t>
  </si>
  <si>
    <t>(kg)</t>
  </si>
  <si>
    <t>Aço laminado</t>
  </si>
  <si>
    <t>A-36 250Mpa</t>
  </si>
  <si>
    <t>FERRO REDONDO</t>
  </si>
  <si>
    <t>FR 1/4</t>
  </si>
  <si>
    <t>Aço dobrado</t>
  </si>
  <si>
    <t>U DOBRADO</t>
  </si>
  <si>
    <t>U200*75*4.76, Caixa dupla soldada</t>
  </si>
  <si>
    <t>U150*75*3.18</t>
  </si>
  <si>
    <t>U150*75*3.18, Caixa dupla soldada</t>
  </si>
  <si>
    <t>U150*75*4.76, Caixa dupla soldada</t>
  </si>
  <si>
    <t>U150*75*4.76</t>
  </si>
  <si>
    <t>U100*50*3.75</t>
  </si>
  <si>
    <t>U250*75*4.76</t>
  </si>
  <si>
    <t>U75*35*3.00</t>
  </si>
  <si>
    <t>U100*50*3.25</t>
  </si>
  <si>
    <t>C DOBRADO</t>
  </si>
  <si>
    <t>C290*75*35*4.76, Caixa dupla soldada</t>
  </si>
  <si>
    <t>C290*75*35*4.76</t>
  </si>
  <si>
    <t>QUANTITATIVOS ESCADA METÁLICA</t>
  </si>
  <si>
    <t>ALIMENTAÇÃO</t>
  </si>
  <si>
    <t>REGISTRO DE ESFERA, PVC, ROSCÁVEL, COM CABEÇA QUADRADA, 3/4" - FORNECIMENTO E INSTALAÇÃO. AF_08/2021</t>
  </si>
  <si>
    <t xml:space="preserve"> 1.2 </t>
  </si>
  <si>
    <t>REGISTRO DE ESFERA, PVC, SOLDÁVEL, COM VOLANTE, DN  25 MM - FORNECIMENTO E INSTALAÇÃO. AF_08/2021</t>
  </si>
  <si>
    <t xml:space="preserve"> 1.3 </t>
  </si>
  <si>
    <t>REGISTRO DE ESFERA, PVC, ROSCÁVEL, COM BORBOLETA, 3/4" - FORNECIMENTO E INSTALAÇÃO. AF_08/2021</t>
  </si>
  <si>
    <t xml:space="preserve"> 1.4 </t>
  </si>
  <si>
    <t>VÁLVULA DE RETENÇÃO HORIZONTAL, DE BRONZE, ROSCÁVEL, 3/4" - FORNECIMENTO E INSTALAÇÃO. AF_08/2021</t>
  </si>
  <si>
    <t xml:space="preserve"> 1.5 </t>
  </si>
  <si>
    <t>JOELHO 90 GRAUS, PVC, SOLDÁVEL, DN 25MM, X 3/4  INSTALADO EM RAMAL DE DISTRIBUIÇÃO DE ÁGUA - FORNECIMENTO E INSTALAÇÃO. AF_06/2022</t>
  </si>
  <si>
    <t xml:space="preserve"> 1.6 </t>
  </si>
  <si>
    <t>ADAPTADOR COM FLANGE E ANEL DE VEDAÇÃO, PVC, SOLDÁVEL, DN  25 MM X 3/4 , INSTALADO EM RESERVAÇÃO DE ÁGUA DE EDIFICAÇÃO QUE POSSUA RESERVATÓRIO DE FIBRA/FIBROCIMENTO   FORNECIMENTO E INSTALAÇÃO. AF_06/2016</t>
  </si>
  <si>
    <t xml:space="preserve"> 1.7 </t>
  </si>
  <si>
    <t>ADAPTADOR CURTO COM BOLSA E ROSCA PARA REGISTRO, PVC, SOLDÁVEL, DN 25MM X 3/4 , INSTALADO EM RAMAL OU SUB-RAMAL DE ÁGUA - FORNECIMENTO E INSTALAÇÃO. AF_06/2022</t>
  </si>
  <si>
    <t xml:space="preserve"> 1.8 </t>
  </si>
  <si>
    <t>CURVA 90 GRAUS, PVC, SOLDÁVEL, DN 25MM, INSTALADO EM RAMAL DE DISTRIBUIÇÃO DE ÁGUA - FORNECIMENTO E INSTALAÇÃO. AF_06/2022</t>
  </si>
  <si>
    <t xml:space="preserve"> 1.9 </t>
  </si>
  <si>
    <t>JOELHO 45 GRAUS, PVC, SOLDÁVEL, DN 25MM, INSTALADO EM RAMAL DE DISTRIBUIÇÃO DE ÁGUA - FORNECIMENTO E INSTALAÇÃO. AF_06/2022</t>
  </si>
  <si>
    <t xml:space="preserve"> 1.10 </t>
  </si>
  <si>
    <t>JOELHO 90 GRAUS, PVC, SOLDÁVEL, DN 25MM, INSTALADO EM RAMAL DE DISTRIBUIÇÃO DE ÁGUA - FORNECIMENTO E INSTALAÇÃO. AF_06/2022</t>
  </si>
  <si>
    <t xml:space="preserve"> 1.11 </t>
  </si>
  <si>
    <t>LUVA, PVC, SOLDÁVEL, DN 25MM, INSTALADO EM RAMAL DE DISTRIBUIÇÃO DE ÁGUA - FORNECIMENTO E INSTALAÇÃO. AF_06/2022</t>
  </si>
  <si>
    <t xml:space="preserve"> 1.12 </t>
  </si>
  <si>
    <t>TORNEIRA DE BOIA PARA CAIXA D'ÁGUA, ROSCÁVEL, 3/4" - FORNECIMENTO E INSTALAÇÃO. AF_08/2021</t>
  </si>
  <si>
    <t xml:space="preserve"> 1.13 </t>
  </si>
  <si>
    <t>TUBO, PVC, SOLDÁVEL, DN 25MM, INSTALADO EM RAMAL DE DISTRIBUIÇÃO DE ÁGUA - FORNECIMENTO E INSTALAÇÃO. AF_06/2022</t>
  </si>
  <si>
    <t xml:space="preserve"> 1.14 </t>
  </si>
  <si>
    <t>BOMBA HIDRÁULICA RECALQUE MONOFÁSICA BCR - 2000 1/4 CV 0,8M3/H E  15 M.C.A  REF (SINAPI 102111)</t>
  </si>
  <si>
    <t xml:space="preserve"> 1.15 </t>
  </si>
  <si>
    <t>VÁLVULA DE RETENÇÃO, DE BRONZE, PÉ COM CRIVOS, ROSCÁVEL, 1" - FORNECIMENTO E INSTALAÇÃO. AF_08/2021</t>
  </si>
  <si>
    <t xml:space="preserve"> 2 </t>
  </si>
  <si>
    <t>ÁGUA FRIA</t>
  </si>
  <si>
    <t xml:space="preserve"> 2.1 </t>
  </si>
  <si>
    <t>REGISTRO DE GAVETA BRUTO, LATÃO, ROSCÁVEL, 3/4", COM ACABAMENTO E CANOPLA CROMADOS - FORNECIMENTO E INSTALAÇÃO. AF_08/2021</t>
  </si>
  <si>
    <t xml:space="preserve"> 2.2 </t>
  </si>
  <si>
    <t xml:space="preserve"> 2.3 </t>
  </si>
  <si>
    <t>REGISTRO DE ESFERA, PVC, SOLDÁVEL, COM VOLANTE, DN  50 MM - FORNECIMENTO E INSTALAÇÃO. AF_08/2021</t>
  </si>
  <si>
    <t xml:space="preserve"> 2.4 </t>
  </si>
  <si>
    <t>ENGATE FLEXÍVEL EM INOX, 1/2  X 30CM - FORNECIMENTO E INSTALAÇÃO. AF_01/2020</t>
  </si>
  <si>
    <t xml:space="preserve"> 2.5 </t>
  </si>
  <si>
    <t>ENGATE FLEXÍVEL EM PLÁSTICO BRANCO, 1/2 X 30CM - FORNECIMENTO E INSTALAÇÃO. AF_01/2020</t>
  </si>
  <si>
    <t xml:space="preserve"> 2.6 </t>
  </si>
  <si>
    <t xml:space="preserve"> 2.7 </t>
  </si>
  <si>
    <t>BUCHA DE REDUÇÃO, LONGA, PVC, SOLDÁVEL, DN 50 X 25 MM, INSTALADO EM RAMAL DE DISTRIBUIÇÃO DE ÁGUA - FORNECIMENTO E INSTALAÇÃO. AF_06/2022</t>
  </si>
  <si>
    <t xml:space="preserve"> 2.8 </t>
  </si>
  <si>
    <t>CURVA 90 GRAUS, PVC, SOLDÁVEL, DN 25MM, INSTALADO EM RAMAL OU SUB-RAMAL DE ÁGUA - FORNECIMENTO E INSTALAÇÃO. AF_06/2022</t>
  </si>
  <si>
    <t xml:space="preserve"> 2.9 </t>
  </si>
  <si>
    <t>CURVA 90 GRAUS, PVC, SOLDÁVEL, DN 50MM, INSTALADO EM RAMAL DE DISTRIBUIÇÃO DE ÁGUA - FORNECIMENTO E INSTALAÇÃO. AF_06/2022</t>
  </si>
  <si>
    <t xml:space="preserve"> 2.10 </t>
  </si>
  <si>
    <t>JOELHO 45 GRAUS, PVC, SOLDÁVEL, DN 25MM, INSTALADO EM RAMAL OU SUB-RAMAL DE ÁGUA - FORNECIMENTO E INSTALAÇÃO. AF_06/2022</t>
  </si>
  <si>
    <t xml:space="preserve"> 2.11 </t>
  </si>
  <si>
    <t>JOELHO 45 GRAUS, PVC, SOLDÁVEL, DN 32MM, INSTALADO EM RAMAL OU SUB-RAMAL DE ÁGUA - FORNECIMENTO E INSTALAÇÃO. AF_06/2022</t>
  </si>
  <si>
    <t xml:space="preserve"> 2.12 </t>
  </si>
  <si>
    <t>JOELHO 45 GRAUS, PVC, SOLDÁVEL, DN 50MM, INSTALADO EM RAMAL DE DISTRIBUIÇÃO DE ÁGUA - FORNECIMENTO E INSTALAÇÃO. AF_06/2022</t>
  </si>
  <si>
    <t xml:space="preserve"> 2.13 </t>
  </si>
  <si>
    <t>LUVA, PVC, SOLDÁVEL, DN 50MM, INSTALADO EM RAMAL DE DISTRIBUIÇÃO DE ÁGUA - FORNECIMENTO E INSTALAÇÃO. AF_06/2022</t>
  </si>
  <si>
    <t xml:space="preserve"> 2.14 </t>
  </si>
  <si>
    <t>TUBO, PVC, SOLDÁVEL, DN 25MM, INSTALADO EM RAMAL OU SUB-RAMAL DE ÁGUA - FORNECIMENTO E INSTALAÇÃO. AF_06/2022</t>
  </si>
  <si>
    <t xml:space="preserve"> 2.15 </t>
  </si>
  <si>
    <t>TUBO, PVC, SOLDÁVEL, DN 50MM, INSTALADO EM RAMAL DE DISTRIBUIÇÃO DE ÁGUA - FORNECIMENTO E INSTALAÇÃO. AF_06/2022</t>
  </si>
  <si>
    <t xml:space="preserve"> 2.16 </t>
  </si>
  <si>
    <t>TE, PVC, SOLDÁVEL, DN 25MM, INSTALADO EM RAMAL DE DISTRIBUIÇÃO DE ÁGUA - FORNECIMENTO E INSTALAÇÃO. AF_06/2022</t>
  </si>
  <si>
    <t xml:space="preserve"> 2.17 </t>
  </si>
  <si>
    <t>TE, PVC, SOLDÁVEL, DN 50MM, INSTALADO EM RAMAL DE DISTRIBUIÇÃO DE ÁGUA - FORNECIMENTO E INSTALAÇÃO. AF_06/2022</t>
  </si>
  <si>
    <t xml:space="preserve"> 2.18 </t>
  </si>
  <si>
    <t>TÊ DE REDUÇÃO, PVC, SOLDÁVEL, DN 50MM X 25MM, INSTALADO EM RAMAL DE DISTRIBUIÇÃO DE ÁGUA - FORNECIMENTO E INSTALAÇÃO. AF_06/2022</t>
  </si>
  <si>
    <t xml:space="preserve"> 2.19 </t>
  </si>
  <si>
    <t>JOELHO 90 GRAUS COM BUCHA DE LATÃO, PVC, SOLDÁVEL, DN 25MM, X 3/4  INSTALADO EM RAMAL OU SUB-RAMAL DE ÁGUA - FORNECIMENTO E INSTALAÇÃO. AF_06/2022</t>
  </si>
  <si>
    <t xml:space="preserve"> 2.20 </t>
  </si>
  <si>
    <t>JOELHO 90 GRAUS COM BUCHA DE LATÃO, PVC, SOLDÁVEL, DN 25MM, X 1/2  INSTALADO EM RAMAL OU SUB-RAMAL DE ÁGUA - FORNECIMENTO E INSTALAÇÃO. AF_06/2022</t>
  </si>
  <si>
    <t xml:space="preserve"> 2.21 </t>
  </si>
  <si>
    <t>TÊ COM BUCHA DE LATÃO NA BOLSA CENTRAL, PVC, SOLDÁVEL, DN 25MM X 1/2 , INSTALADO EM RAMAL OU SUB-RAMAL DE ÁGUA - FORNECIMENTO E INSTALAÇÃO. AF_06/2022</t>
  </si>
  <si>
    <t xml:space="preserve"> 2.22 </t>
  </si>
  <si>
    <t>TÊ COM BUCHA DE LATÃO NA BOLSA CENTRAL, PVC, SOLDÁVEL, DN 25MM X 3/4 , INSTALADO EM RAMAL OU SUB-RAMAL DE ÁGUA - FORNECIMENTO E INSTALAÇÃO. AF_06/2022</t>
  </si>
  <si>
    <t xml:space="preserve"> 2.23 </t>
  </si>
  <si>
    <t>CAIXA D´ÁGUA EM POLIETILENO, 1500 LITROS - FORNECIMENTO E INSTALAÇÃO. AF_06/2021</t>
  </si>
  <si>
    <t xml:space="preserve"> 2.24 </t>
  </si>
  <si>
    <t>TORNEIRA CROMADA TUBO MÓVEL, DE MESA, 1/2 OU 3/4, PARA PIA DE COZINHA, PADRÃO ALTO - FORNECIMENTO E INSTALAÇÃO. AF_01/2020</t>
  </si>
  <si>
    <t xml:space="preserve"> 2.25 </t>
  </si>
  <si>
    <t>TORNEIRA METALICA CROMADA DE MESA, PARA LAVATORIO, TEMPORIZADA PRESSAO FECHAMENTO AUTOMATICO, BICA BAIXA (REF SINAPI 88267)</t>
  </si>
  <si>
    <t xml:space="preserve"> 2.26 </t>
  </si>
  <si>
    <t>VASO SANITÁRIO SIFONADO COM CAIXA ACOPLADA, LOUÇA BRANCA - PADRÃO ALTO - FORNECIMENTO E INSTALAÇÃO. AF_01/2020</t>
  </si>
  <si>
    <t xml:space="preserve"> 3 </t>
  </si>
  <si>
    <t>ESGOTO</t>
  </si>
  <si>
    <t xml:space="preserve"> 3.1 </t>
  </si>
  <si>
    <t>CAIXA ENTERRADA HIDRÁULICA RETANGULAR EM ALVENARIA COM TIJOLOS CERÂMICOS MACIÇOS, DIMENSÕES INTERNAS: 0,6X0,6X0,6 M PARA REDE DE ESGOTO. AF_12/2020</t>
  </si>
  <si>
    <t xml:space="preserve"> 3.2 </t>
  </si>
  <si>
    <t>CAIXA SIFONADA, PVC, DN 100 X 100 X 50 MM, JUNTA ELÁSTICA, FORNECIDA E INSTALADA EM RAMAL DE DESCARGA OU EM RAMAL DE ESGOTO SANITÁRIO. AF_08/2022</t>
  </si>
  <si>
    <t xml:space="preserve"> 3.3 </t>
  </si>
  <si>
    <t>SIFÃO DO TIPO GARRAFA EM METAL CROMADO 1 X 1.1/2 - FORNECIMENTO E INSTALAÇÃO. AF_01/2020</t>
  </si>
  <si>
    <t xml:space="preserve"> 3.4 </t>
  </si>
  <si>
    <t>SIFÃO DO TIPO FLEXÍVEL EM PVC 1.1/2 X 1.1/2 - FORNECIMENTO E INSTALAÇÃO</t>
  </si>
  <si>
    <t xml:space="preserve"> 3.5 </t>
  </si>
  <si>
    <t>VÁLVULA EM PLÁSTICO 1 PARA PIA, TANQUE OU LAVATÓRIO, COM OU SEM LADRÃO - FORNECIMENTO E INSTALAÇÃO. AF_01/2020</t>
  </si>
  <si>
    <t xml:space="preserve"> 3.6 </t>
  </si>
  <si>
    <t>VALVULA PARA LAVATÓRIO E TANQUE CROMADO 1" COM OU SEM LADRÃO (REF SINAPI 86879)</t>
  </si>
  <si>
    <t xml:space="preserve"> 3.7 </t>
  </si>
  <si>
    <t>TUBO PVC, SERIE NORMAL, ESGOTO PREDIAL, DN 100 MM, FORNECIDO E INSTALADO EM RAMAL DE DESCARGA OU RAMAL DE ESGOTO SANITÁRIO. AF_08/2022</t>
  </si>
  <si>
    <t xml:space="preserve"> 3.8 </t>
  </si>
  <si>
    <t>ANEL DE BORRACHA 100MM - 4</t>
  </si>
  <si>
    <t xml:space="preserve"> 3.9 </t>
  </si>
  <si>
    <t>ANEL DE BORRACHA 150MM - 6'' (REF SINAPI 89849)</t>
  </si>
  <si>
    <t xml:space="preserve"> 3.10 </t>
  </si>
  <si>
    <t>TUBO PVC, SERIE NORMAL, ESGOTO PREDIAL, DN 50 MM, FORNECIDO E INSTALADO EM RAMAL DE DESCARGA OU RAMAL DE ESGOTO SANITÁRIO. AF_08/2022</t>
  </si>
  <si>
    <t xml:space="preserve"> 3.11 </t>
  </si>
  <si>
    <t>ANEL DE BORRACHA 50MM - 2</t>
  </si>
  <si>
    <t xml:space="preserve"> 3.12 </t>
  </si>
  <si>
    <t>CURVA CURTA 90 GRAUS, PVC, SERIE NORMAL, ESGOTO PREDIAL, DN 40 MM, JUNTA SOLDÁVEL, FORNECIDO E INSTALADO EM RAMAL DE DESCARGA OU RAMAL DE ESGOTO SANITÁRIO. AF_08/2022</t>
  </si>
  <si>
    <t xml:space="preserve"> 3.13 </t>
  </si>
  <si>
    <t>JOELHO 45 GRAUS, PVC, SERIE NORMAL, ESGOTO PREDIAL, DN 100 MM, JUNTA ELÁSTICA, FORNECIDO E INSTALADO EM RAMAL DE DESCARGA OU RAMAL DE ESGOTO SANITÁRIO. AF_08/2022</t>
  </si>
  <si>
    <t xml:space="preserve"> 3.14 </t>
  </si>
  <si>
    <t>JOELHO 45 GRAUS, PVC, SERIE NORMAL, ESGOTO PREDIAL, DN 50 MM, JUNTA ELÁSTICA, FORNECIDO E INSTALADO EM RAMAL DE DESCARGA OU RAMAL DE ESGOTO SANITÁRIO. AF_08/2022</t>
  </si>
  <si>
    <t xml:space="preserve"> 3.15 </t>
  </si>
  <si>
    <t>JOELHO 45 GRAUS, PVC, SERIE NORMAL, ESGOTO PREDIAL, DN 40 MM, JUNTA SOLDÁVEL, FORNECIDO E INSTALADO EM RAMAL DE DESCARGA OU RAMAL DE ESGOTO SANITÁRIO. AF_08/2022</t>
  </si>
  <si>
    <t xml:space="preserve"> 3.16 </t>
  </si>
  <si>
    <t>JOELHO 90 GRAUS, PVC, SERIE NORMAL, ESGOTO PREDIAL, DN 100 MM, JUNTA ELÁSTICA, FORNECIDO E INSTALADO EM RAMAL DE DESCARGA OU RAMAL DE ESGOTO SANITÁRIO. AF_08/2022</t>
  </si>
  <si>
    <t xml:space="preserve"> 3.17 </t>
  </si>
  <si>
    <t>Joelho 90 c/anel p/ esgoto secundário	40 mm - 1.1/2"  REF SINPI 89726</t>
  </si>
  <si>
    <t xml:space="preserve"> 3.18 </t>
  </si>
  <si>
    <t>JUNÇÃO SIMPLES 100 X 50 REF SINAPI 89797 06/2022</t>
  </si>
  <si>
    <t xml:space="preserve"> 3.19 </t>
  </si>
  <si>
    <t>JUNÇÃO SIMPLES, PVC, SERIE NORMAL, ESGOTO PREDIAL, DN 100 X 100 MM, JUNTA ELÁSTICA, FORNECIDO E INSTALADO EM RAMAL DE DESCARGA OU RAMAL DE ESGOTO SANITÁRIO. AF_08/2022</t>
  </si>
  <si>
    <t xml:space="preserve"> 3.20 </t>
  </si>
  <si>
    <t>LUVA DE CORRER, PVC, SERIE NORMAL, ESGOTO PREDIAL, DN 100 MM, JUNTA ELÁSTICA, FORNECIDO E INSTALADO EM RAMAL DE DESCARGA OU RAMAL DE ESGOTO SANITÁRIO. AF_08/2022</t>
  </si>
  <si>
    <t xml:space="preserve"> 3.21 </t>
  </si>
  <si>
    <t>LUVA SIMPLES, PVC, SERIE NORMAL, ESGOTO PREDIAL, DN 100 MM, JUNTA ELÁSTICA, FORNECIDO E INSTALADO EM RAMAL DE DESCARGA OU RAMAL DE ESGOTO SANITÁRIO. AF_08/2022</t>
  </si>
  <si>
    <t xml:space="preserve"> 3.22 </t>
  </si>
  <si>
    <t>LUVA SIMPLES, PVC, SÉRIE NORMAL, ESGOTO PREDIAL, DN 150 MM, JUNTA ELÁSTICA, FORNECIDO E INSTALADO EM SUBCOLETOR AÉREO DE ESGOTO SANITÁRIO. AF_08/2022</t>
  </si>
  <si>
    <t xml:space="preserve"> 3.23 </t>
  </si>
  <si>
    <t>LUVA SIMPLES, PVC, SERIE NORMAL, ESGOTO PREDIAL, DN 50 MM, JUNTA ELÁSTICA, FORNECIDO E INSTALADO EM RAMAL DE DESCARGA OU RAMAL DE ESGOTO SANITÁRIO. AF_08/2022</t>
  </si>
  <si>
    <t xml:space="preserve"> 3.24 </t>
  </si>
  <si>
    <t xml:space="preserve"> 3.25 </t>
  </si>
  <si>
    <t>TUBO PVC, SERIE NORMAL, ESGOTO PREDIAL, DN 150 MM, FORNECIDO E INSTALADO EM SUBCOLETOR AÉREO DE ESGOTO SANITÁRIO. AF_08/2022</t>
  </si>
  <si>
    <t xml:space="preserve"> 3.26 </t>
  </si>
  <si>
    <t>TUBO PVC, SERIE NORMAL, ESGOTO PREDIAL, DN 40 MM, FORNECIDO E INSTALADO EM RAMAL DE DESCARGA OU RAMAL DE ESGOTO SANITÁRIO. AF_08/2022</t>
  </si>
  <si>
    <t xml:space="preserve"> 3.27 </t>
  </si>
  <si>
    <t xml:space="preserve"> 3.28 </t>
  </si>
  <si>
    <t>TE, PVC, SERIE NORMAL, ESGOTO PREDIAL, DN 100 X 100 MM, JUNTA ELÁSTICA, FORNECIDO E INSTALADO EM RAMAL DE DESCARGA OU RAMAL DE ESGOTO SANITÁRIO. AF_08/2022</t>
  </si>
  <si>
    <t xml:space="preserve"> 3.29 </t>
  </si>
  <si>
    <t>SIFÃO DO TIPO COPO EM PVC 1  X 2 PARA PIA E LAVATÓRIO - FORNECIMENTO E INSTALAÇÃO.</t>
  </si>
  <si>
    <t xml:space="preserve"> 3.30 </t>
  </si>
  <si>
    <t>TUBO PVC, SERIE NORMAL, ESGOTO PREDIAL, DN 75 MM, FORNECIDO E INSTALADO EM RAMAL DE DESCARGA OU RAMAL DE ESGOTO SANITÁRIO. AF_08/2022</t>
  </si>
  <si>
    <t xml:space="preserve"> 3.31 </t>
  </si>
  <si>
    <t>ANEL DE BORRACHA 75MM - 2'' (REF SINAPI 89713)</t>
  </si>
  <si>
    <t xml:space="preserve"> 3.32 </t>
  </si>
  <si>
    <t>JOELHO 45 GRAUS, PVC, SERIE NORMAL, ESGOTO PREDIAL, DN 75 MM, JUNTA ELÁSTICA, FORNECIDO E INSTALADO EM RAMAL DE DESCARGA OU RAMAL DE ESGOTO SANITÁRIO. AF_08/2022</t>
  </si>
  <si>
    <t xml:space="preserve"> 3.33 </t>
  </si>
  <si>
    <t>JOELHO 90 GRAUS, PVC, SERIE NORMAL, ESGOTO PREDIAL, DN 50 MM, JUNTA ELÁSTICA, FORNECIDO E INSTALADO EM RAMAL DE DESCARGA OU RAMAL DE ESGOTO SANITÁRIO. AF_08/2022</t>
  </si>
  <si>
    <t xml:space="preserve"> 3.34 </t>
  </si>
  <si>
    <t>JOELHO 90 GRAUS, PVC, SERIE NORMAL, ESGOTO PREDIAL, DN 75 MM, JUNTA ELÁSTICA, FORNECIDO E INSTALADO EM RAMAL DE DESCARGA OU RAMAL DE ESGOTO SANITÁRIO. AF_08/2022</t>
  </si>
  <si>
    <t xml:space="preserve"> 3.35 </t>
  </si>
  <si>
    <t>JUNÇÃO SIMPLES, PVC, SERIE NORMAL, ESGOTO PREDIAL, DN 75 X 75 MM, JUNTA ELÁSTICA, FORNECIDO E INSTALADO EM RAMAL DE DESCARGA OU RAMAL DE ESGOTO SANITÁRIO. AF_08/2022</t>
  </si>
  <si>
    <t xml:space="preserve"> 3.36 </t>
  </si>
  <si>
    <t>JUNÇÃO DE REDUÇÃO INVERTIDA, PVC, SÉRIE NORMAL, ESGOTO PREDIAL, DN 75 X 50 MM, JUNTA ELÁSTICA, FORNECIDO E INSTALADO EM PRUMADA DE ESGOTO SANITÁRIO OU VENTILAÇÃO. AF_08/2022</t>
  </si>
  <si>
    <t xml:space="preserve"> 3.37 </t>
  </si>
  <si>
    <t>LUVA DE CORRER, PVC, SERIE NORMAL, ESGOTO PREDIAL, DN 75 MM, JUNTA ELÁSTICA, FORNECIDO E INSTALADO EM RAMAL DE DESCARGA OU RAMAL DE ESGOTO SANITÁRIO. AF_08/2022</t>
  </si>
  <si>
    <t xml:space="preserve"> 3.38 </t>
  </si>
  <si>
    <t>LUVA SIMPLES, PVC, SERIE NORMAL, ESGOTO PREDIAL, DN 75 MM, JUNTA ELÁSTICA, FORNECIDO E INSTALADO EM RAMAL DE DESCARGA OU RAMAL DE ESGOTO SANITÁRIO. AF_08/2022</t>
  </si>
  <si>
    <t xml:space="preserve"> 3.39 </t>
  </si>
  <si>
    <t>REDUÇÃO EXCÊNTRICA 75 X 50 PARA RAMAL DE VENTILAÇÃO  REF SINAPI 89549</t>
  </si>
  <si>
    <t xml:space="preserve"> 3.40 </t>
  </si>
  <si>
    <t>CAIXA DE GORDURA SIMPLES (CAPACIDADE: 36L), RETANGULAR, EM ALVENARIA COM TIJOLOS CERÂMICOS MACIÇOS, DIMENSÕES INTERNAS = 0,2X0,4 M, ALTURA INTERNA = 0,8 M. AF_12/2020</t>
  </si>
  <si>
    <t xml:space="preserve"> 3.41 </t>
  </si>
  <si>
    <t>CAIXA DE GORDURA DUPLA (CAPACIDADE: 126 L), RETANGULAR, EM ALVENARIA COM TIJOLOS CERÂMICOS MACIÇOS, DIMENSÕES INTERNAS = 0,4X0,7 M, ALTURA INTERNA = 0,8 M. AF_12/2020</t>
  </si>
  <si>
    <t xml:space="preserve"> 4 </t>
  </si>
  <si>
    <t>VENTILAÇÃO</t>
  </si>
  <si>
    <t xml:space="preserve"> 4.1 </t>
  </si>
  <si>
    <t>ANEL DE BORRACHA 100MM - 4'' (REF SINAPI 89714)</t>
  </si>
  <si>
    <t xml:space="preserve"> 4.2 </t>
  </si>
  <si>
    <t>ANEL DE BORRACHA 50MM - 2'' (REF SINAPI 89712)</t>
  </si>
  <si>
    <t xml:space="preserve"> 4.3 </t>
  </si>
  <si>
    <t xml:space="preserve"> 4.4 </t>
  </si>
  <si>
    <t>JOELHO 45 GRAUS, PVC, SERIE NORMAL, ESGOTO PREDIAL, DN 50 MM, JUNTA ELÁSTICA, FORNECIDO E INSTALADO EM PRUMADA DE ESGOTO SANITÁRIO OU VENTILAÇÃO. AF_08/2022</t>
  </si>
  <si>
    <t xml:space="preserve"> 4.5 </t>
  </si>
  <si>
    <t>JOELHO 45 GRAUS, PVC, SERIE NORMAL, ESGOTO PREDIAL, DN 75 MM, JUNTA ELÁSTICA, FORNECIDO E INSTALADO EM PRUMADA DE ESGOTO SANITÁRIO OU VENTILAÇÃO. AF_08/2022</t>
  </si>
  <si>
    <t xml:space="preserve"> 4.6 </t>
  </si>
  <si>
    <t>JOELHO 90 GRAUS, PVC, SERIE NORMAL, ESGOTO PREDIAL, DN 50 MM, JUNTA ELÁSTICA, FORNECIDO E INSTALADO EM PRUMADA DE ESGOTO SANITÁRIO OU VENTILAÇÃO. AF_08/2022</t>
  </si>
  <si>
    <t xml:space="preserve"> 4.7 </t>
  </si>
  <si>
    <t>JOELHO 90 GRAUS, PVC, SERIE NORMAL, ESGOTO PREDIAL, DN 75 MM, JUNTA ELÁSTICA, FORNECIDO E INSTALADO EM PRUMADA DE ESGOTO SANITÁRIO OU VENTILAÇÃO. AF_08/2022</t>
  </si>
  <si>
    <t xml:space="preserve"> 4.8 </t>
  </si>
  <si>
    <t>JUNÇÃO SIMPLES, PVC, SERIE NORMAL, ESGOTO PREDIAL, DN 50 X 50 MM, JUNTA ELÁSTICA, FORNECIDO E INSTALADO EM PRUMADA DE ESGOTO SANITÁRIO OU VENTILAÇÃO. AF_08/2022</t>
  </si>
  <si>
    <t xml:space="preserve"> 4.9 </t>
  </si>
  <si>
    <t xml:space="preserve"> 4.10 </t>
  </si>
  <si>
    <t>JUNÇÃO SIMPLES, PVC, SERIE NORMAL, ESGOTO PREDIAL, DN 75 X 75 MM, JUNTA ELÁSTICA, FORNECIDO E INSTALADO EM PRUMADA DE ESGOTO SANITÁRIO OU VENTILAÇÃO. AF_08/2022</t>
  </si>
  <si>
    <t xml:space="preserve"> 4.11 </t>
  </si>
  <si>
    <t>LUVA DE CORRER, PVC, SERIE NORMAL, ESGOTO PREDIAL, DN 50 MM, JUNTA ELÁSTICA, FORNECIDO E INSTALADO EM PRUMADA DE ESGOTO SANITÁRIO OU VENTILAÇÃO. AF_08/2022</t>
  </si>
  <si>
    <t xml:space="preserve"> 4.12 </t>
  </si>
  <si>
    <t>LUVA DE CORRER, PVC, SERIE NORMAL, ESGOTO PREDIAL, DN 75 MM, JUNTA ELÁSTICA, FORNECIDO E INSTALADO EM PRUMADA DE ESGOTO SANITÁRIO OU VENTILAÇÃO. AF_08/2022</t>
  </si>
  <si>
    <t xml:space="preserve"> 4.13 </t>
  </si>
  <si>
    <t xml:space="preserve"> 4.14 </t>
  </si>
  <si>
    <t>TERMINAL DE VENTILAÇÃO, PVC, SÉRIE NORMAL, ESGOTO PREDIAL, DN 50 MM, JUNTA SOLDÁVEL, FORNECIDO E INSTALADO EM PRUMADA DE ESGOTO SANITÁRIO OU VENTILAÇÃO. AF_08/2022</t>
  </si>
  <si>
    <t xml:space="preserve"> 4.15 </t>
  </si>
  <si>
    <t>TERMINAL DE VENTILAÇÃO, PVC, SÉRIE NORMAL, ESGOTO PREDIAL, DN 75 MM, JUNTA SOLDÁVEL, FORNECIDO E INSTALADO EM PRUMADA DE ESGOTO SANITÁRIO OU VENTILAÇÃO. AF_08/2022</t>
  </si>
  <si>
    <t xml:space="preserve"> 4.16 </t>
  </si>
  <si>
    <t>TUBO PVC, SERIE NORMAL, ESGOTO PREDIAL, DN 50 MM, FORNECIDO E INSTALADO EM PRUMADA DE ESGOTO SANITÁRIO OU VENTILAÇÃO. AF_08/2022</t>
  </si>
  <si>
    <t xml:space="preserve"> 4.17 </t>
  </si>
  <si>
    <t>TUBO PVC, SERIE NORMAL, ESGOTO PREDIAL, DN 75 MM, FORNECIDO E INSTALADO EM PRUMADA DE ESGOTO SANITÁRIO OU VENTILAÇÃO. AF_08/2022</t>
  </si>
  <si>
    <t xml:space="preserve"> 4.18 </t>
  </si>
  <si>
    <t>TE, PVC, SERIE NORMAL, ESGOTO PREDIAL, DN 100 X 50 MM, JUNTA ELÁSTICA, FORNECIDO E INSTALADO EM PRUMADA DE ESGOTO SANITÁRIO OU VENTILAÇÃO  REF SINAPI 89833 06/2022</t>
  </si>
  <si>
    <t xml:space="preserve"> 4.19 </t>
  </si>
  <si>
    <t>TE, PVC, SERIE NORMAL, ESGOTO PREDIAL, DN 100 X 75 MM, JUNTA ELÁSTICA, FORNECIDO E INSTALADO EM PRUMADA DE ESGOTO SANITÁRIO OU VENTILAÇÃO REF SINAPI 89833 06/2022</t>
  </si>
  <si>
    <t xml:space="preserve"> 4.20 </t>
  </si>
  <si>
    <t>TE, PVC, SERIE NORMAL, ESGOTO  PREDIAL OU VENTILAÇÃO, DN 75 X 50 MM, JUNTA ELÁSTICA, FORNECIDO E INSTALADO EM RAMAL DE DESCARGA OU RAMAL DE ESGOTO SANITÁRIO.</t>
  </si>
  <si>
    <t xml:space="preserve"> 5 </t>
  </si>
  <si>
    <t>PLUVIAL</t>
  </si>
  <si>
    <t xml:space="preserve"> 5.1 </t>
  </si>
  <si>
    <t>CAIXA ENTERRADA HIDRÁULICA RETANGULAR EM ALVENARIA COM TIJOLOS CERÂMICOS MACIÇOS, DIMENSÕES INTERNAS: 0,6X0,6X0,6 M PARA REDE DE DRENAGEM. AF_12/2020</t>
  </si>
  <si>
    <t xml:space="preserve"> 5.2 </t>
  </si>
  <si>
    <t>CALHA EM CHAPA DE AÇO GALVANIZADO NÚMERO 24, DESENVOLVIMENTO DE 100 CM, INCLUSO TRANSPORTE VERTICAL. AF_07/2019</t>
  </si>
  <si>
    <t xml:space="preserve"> 5.3 </t>
  </si>
  <si>
    <t>RALO FOFO SEMIESFERICO 100MM  REF SINAPI 89495 06/2022</t>
  </si>
  <si>
    <t xml:space="preserve"> 5.4 </t>
  </si>
  <si>
    <t>RALO FOFO SEMIESFERICO 150MM  REF SINAPI 89495 06/2022</t>
  </si>
  <si>
    <t xml:space="preserve"> 5.5 </t>
  </si>
  <si>
    <t xml:space="preserve"> 5.6 </t>
  </si>
  <si>
    <t xml:space="preserve"> 5.7 </t>
  </si>
  <si>
    <t>JOELHO 45 GRAUS, PVC, SERIE R, ÁGUA PLUVIAL, DN 100 MM, JUNTA ELÁSTICA, FORNECIDO E INSTALADO EM CONDUTORES VERTICAIS DE ÁGUAS PLUVIAIS. AF_06/2022</t>
  </si>
  <si>
    <t xml:space="preserve"> 5.8 </t>
  </si>
  <si>
    <t>JOELHO 45 GRAUS, PVC, SERIE R, ÁGUA PLUVIAL, DN 150 MM, JUNTA ELÁSTICA, FORNECIDO E INSTALADO EM CONDUTORES VERTICAIS DE ÁGUAS PLUVIAIS. AF_06/2022</t>
  </si>
  <si>
    <t xml:space="preserve"> 5.9 </t>
  </si>
  <si>
    <t>JOELHO 90 GRAUS, PVC, SERIE R, ÁGUA PLUVIAL, DN 100 MM, JUNTA ELÁSTICA, FORNECIDO E INSTALADO EM CONDUTORES VERTICAIS DE ÁGUAS PLUVIAIS. AF_06/2022</t>
  </si>
  <si>
    <t xml:space="preserve"> 5.10 </t>
  </si>
  <si>
    <t>JOELHO 90 GRAUS, PVC, SERIE R, ÁGUA PLUVIAL, DN 150 MM, JUNTA ELÁSTICA, FORNECIDO E INSTALADO EM CONDUTORES VERTICAIS DE ÁGUAS PLUVIAIS. AF_06/2022</t>
  </si>
  <si>
    <t xml:space="preserve"> 5.11 </t>
  </si>
  <si>
    <t>JUNÇÃO SIMPLES, PVC, SERIE R, ÁGUA PLUVIAL, DN 100 X 100 MM, JUNTA ELÁSTICA, FORNECIDO E INSTALADO EM CONDUTORES VERTICAIS DE ÁGUAS PLUVIAIS. AF_06/2022</t>
  </si>
  <si>
    <t xml:space="preserve"> 5.12 </t>
  </si>
  <si>
    <t>JUNÇÃO SIMPLES, PVC, SERIE R, ÁGUA PLUVIAL, DN 150 X 150 MM, JUNTA ELÁSTICA, FORNECIDO E INSTALADO EM CONDUTORES VERTICAIS DE ÁGUAS PLUVIAIS. AF_06/2022</t>
  </si>
  <si>
    <t xml:space="preserve"> 5.13 </t>
  </si>
  <si>
    <t>LUVA DE CORRER, PVC, SERIE R, ÁGUA PLUVIAL, DN 100 MM, JUNTA ELÁSTICA, FORNECIDO E INSTALADO EM CONDUTORES VERTICAIS DE ÁGUAS PLUVIAIS. AF_06/2022</t>
  </si>
  <si>
    <t xml:space="preserve"> 5.14 </t>
  </si>
  <si>
    <t>LUVA SIMPLES, PVC, SERIE R, ÁGUA PLUVIAL, DN 100 MM, JUNTA ELÁSTICA, FORNECIDO E INSTALADO EM CONDUTORES VERTICAIS DE ÁGUAS PLUVIAIS. AF_06/2022</t>
  </si>
  <si>
    <t xml:space="preserve"> 5.15 </t>
  </si>
  <si>
    <t>LUVA SIMPLES, PVC, SERIE R, ÁGUA PLUVIAL, DN 150 MM, JUNTA ELÁSTICA, FORNECIDO E INSTALADO EM CONDUTORES VERTICAIS DE ÁGUAS PLUVIAIS. AF_06/2022</t>
  </si>
  <si>
    <t xml:space="preserve"> 5.16 </t>
  </si>
  <si>
    <t xml:space="preserve"> 5.17 </t>
  </si>
  <si>
    <t xml:space="preserve"> 5.18 </t>
  </si>
  <si>
    <t>TE, PVC, SERIE NORMAL, ESGOTO PREDIAL, DN 100 X 100 MM, JUNTA ELÁSTICA, FORNECIDO E INSTALADO EM SUBCOLETOR AÉREO DE ESGOTO SANITÁRIO. AF_08/2022</t>
  </si>
  <si>
    <t xml:space="preserve"> 5.19 </t>
  </si>
  <si>
    <t>TÊ DE INSPEÇÃO, PVC, SERIE R, ÁGUA PLUVIAL, DN 150 MM, JUNTA ELÁSTICA, FORNECIDO E INSTALADO EM RAMAL DE ENCAMINHAMENTO. AF_06/2022</t>
  </si>
  <si>
    <t xml:space="preserve"> 6 </t>
  </si>
  <si>
    <t>DRENO DE AR CONDICIONADO</t>
  </si>
  <si>
    <t xml:space="preserve"> 6.1 </t>
  </si>
  <si>
    <t>CURVA 90 GRAUS, PVC, SOLDÁVEL, DN 32MM, INSTALADO EM RAMAL OU SUB-RAMAL DE ÁGUA - FORNECIMENTO E INSTALAÇÃO. AF_06/2022</t>
  </si>
  <si>
    <t xml:space="preserve"> 6.2 </t>
  </si>
  <si>
    <t>JOELHO 45 GRAUS, PVC, SOLDÁVEL, DN 32 MM, INSTALADO EM DRENO DE AR CONDICIONADO - FORNECIMENTO E INSTALAÇÃO. AF_08/2022</t>
  </si>
  <si>
    <t xml:space="preserve"> 6.3 </t>
  </si>
  <si>
    <t>TUBO, PVC, SOLDÁVEL, DN 32 MM, INSTALADO EM DRENO DE AR CONDICIONADO - FORNECIMENTO E INSTALAÇÃO. AF_08/2022</t>
  </si>
  <si>
    <t xml:space="preserve"> 6.4 </t>
  </si>
  <si>
    <t>TE, PVC, SOLDÁVEL, DN 32 MM, INSTALADO EM DRENO DE AR CONDICIONADO - FORNECIMENTO E INSTALAÇÃO. AF_08/2022</t>
  </si>
  <si>
    <t xml:space="preserve"> 6.5 </t>
  </si>
  <si>
    <t>JOELHO 90 COM BUCHA DE LATÃO 32MM X 3/4 (REF SINAPI 89366)</t>
  </si>
  <si>
    <t xml:space="preserve"> 6.6 </t>
  </si>
  <si>
    <t>LUVA COM BUCHA DE LATÃO, PVC, SOLDÁVEL, DN 32MM X 1 , INSTALADO EM RAMAL OU SUB-RAMAL DE ÁGUA   FORNECIMENTO E INSTALAÇÃO. AF_06/2022</t>
  </si>
  <si>
    <t>FILTRO ANAERÓBIO CIRCULAR, EM CONCRETO PRÉ-MOLDADO, DIÂMETRO INTERNO = 2,38 M, ALTURA INTERNA = 1,50 M, VOLUME ÚTIL: 5338,6 L (PARA 34 CONTRIBUINTES). AF_12/2020_PA</t>
  </si>
  <si>
    <t>SUMIDOURO CIRCULAR, EM CONCRETO PRÉ-MOLDADO, DIÂMETRO INTERNO = 2,38 M, ALTURA INTERNA = 3,0 M, ÁREA DE INFILTRAÇÃO: 25 M² (PARA 10 CONTRIBUINTES). AF_12/2020_PA</t>
  </si>
  <si>
    <t>TANQUE SÉPTICO CIRCULAR, EM CONCRETO PRÉ-MOLDADO, DIÂMETRO INTERNO = 1,88 M, ALTURA INTERNA = 2,50 M, VOLUME ÚTIL: 6245,8 L (PARA 32 CONTRIBUINTES). AF_12/2020_PA</t>
  </si>
  <si>
    <t>LAJE</t>
  </si>
  <si>
    <t xml:space="preserve">FUNDAÇÃO </t>
  </si>
  <si>
    <t>QUANTITATIVOS LIXEIRA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</si>
</sst>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(* #,##0.00_);_(* \(#,##0.00\);_(* &quot;-&quot;??_);_(@_)"/>
  </numFmts>
  <fonts count="23" x14ac:knownFonts="1">
    <font>
      <sz val="10"/>
      <color rgb="FF000000"/>
      <name val="Calibri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sz val="9"/>
      <color rgb="FF000000"/>
      <name val="Arial"/>
      <family val="2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8"/>
      <name val="Calibri"/>
      <family val="2"/>
    </font>
    <font>
      <b/>
      <sz val="14"/>
      <color rgb="FF000000"/>
      <name val="Calibri"/>
      <family val="2"/>
    </font>
    <font>
      <b/>
      <sz val="12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i/>
      <sz val="10"/>
      <name val="Calibri"/>
      <family val="2"/>
      <scheme val="minor"/>
    </font>
    <font>
      <b/>
      <sz val="9"/>
      <color rgb="FF000000"/>
      <name val="Verdana"/>
      <family val="2"/>
    </font>
    <font>
      <sz val="9"/>
      <name val="Verdana"/>
      <family val="2"/>
    </font>
    <font>
      <sz val="9"/>
      <color rgb="FF000000"/>
      <name val="Verdana"/>
      <family val="2"/>
    </font>
    <font>
      <sz val="10"/>
      <color theme="1"/>
      <name val="Arial"/>
      <family val="2"/>
    </font>
    <font>
      <b/>
      <sz val="11"/>
      <color rgb="FF000000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b/>
      <sz val="11"/>
      <color rgb="FF000000"/>
      <name val="Arial"/>
      <family val="1"/>
    </font>
  </fonts>
  <fills count="1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DAD7D3"/>
        <bgColor indexed="64"/>
      </patternFill>
    </fill>
    <fill>
      <patternFill patternType="solid">
        <fgColor rgb="FFF2F1F0"/>
        <bgColor indexed="64"/>
      </patternFill>
    </fill>
    <fill>
      <patternFill patternType="solid">
        <fgColor rgb="FFD8ECF6"/>
      </patternFill>
    </fill>
    <fill>
      <patternFill patternType="solid">
        <fgColor rgb="FFDFF0D8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/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7">
    <xf numFmtId="0" fontId="0" fillId="0" borderId="0"/>
    <xf numFmtId="0" fontId="2" fillId="0" borderId="0"/>
    <xf numFmtId="0" fontId="1" fillId="0" borderId="0"/>
    <xf numFmtId="0" fontId="1" fillId="0" borderId="0"/>
    <xf numFmtId="0" fontId="1" fillId="0" borderId="0"/>
    <xf numFmtId="164" fontId="2" fillId="0" borderId="0" applyFont="0" applyFill="0" applyBorder="0" applyAlignment="0" applyProtection="0"/>
    <xf numFmtId="0" fontId="17" fillId="0" borderId="0"/>
  </cellStyleXfs>
  <cellXfs count="121">
    <xf numFmtId="0" fontId="0" fillId="0" borderId="0" xfId="0"/>
    <xf numFmtId="0" fontId="5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right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top" wrapText="1"/>
    </xf>
    <xf numFmtId="0" fontId="2" fillId="0" borderId="1" xfId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top"/>
    </xf>
    <xf numFmtId="0" fontId="3" fillId="0" borderId="0" xfId="0" applyFont="1" applyAlignment="1">
      <alignment vertical="top"/>
    </xf>
    <xf numFmtId="0" fontId="0" fillId="0" borderId="0" xfId="0" applyAlignment="1">
      <alignment vertical="top"/>
    </xf>
    <xf numFmtId="0" fontId="3" fillId="0" borderId="6" xfId="0" applyFont="1" applyBorder="1"/>
    <xf numFmtId="0" fontId="3" fillId="0" borderId="0" xfId="0" applyFont="1"/>
    <xf numFmtId="0" fontId="11" fillId="5" borderId="3" xfId="4" applyFont="1" applyFill="1" applyBorder="1" applyAlignment="1" applyProtection="1">
      <alignment horizontal="center" vertical="center" wrapText="1"/>
      <protection locked="0"/>
    </xf>
    <xf numFmtId="0" fontId="11" fillId="5" borderId="4" xfId="4" applyFont="1" applyFill="1" applyBorder="1" applyAlignment="1" applyProtection="1">
      <alignment vertical="center" wrapText="1"/>
      <protection locked="0"/>
    </xf>
    <xf numFmtId="0" fontId="11" fillId="5" borderId="4" xfId="4" applyFont="1" applyFill="1" applyBorder="1" applyAlignment="1" applyProtection="1">
      <alignment horizontal="center" vertical="center" wrapText="1"/>
      <protection locked="0"/>
    </xf>
    <xf numFmtId="2" fontId="11" fillId="5" borderId="5" xfId="4" applyNumberFormat="1" applyFont="1" applyFill="1" applyBorder="1" applyAlignment="1" applyProtection="1">
      <alignment horizontal="right" vertical="center" wrapText="1"/>
      <protection locked="0"/>
    </xf>
    <xf numFmtId="0" fontId="12" fillId="6" borderId="7" xfId="4" applyFont="1" applyFill="1" applyBorder="1" applyAlignment="1" applyProtection="1">
      <alignment horizontal="center" vertical="center" wrapText="1"/>
      <protection locked="0"/>
    </xf>
    <xf numFmtId="0" fontId="12" fillId="6" borderId="7" xfId="4" applyFont="1" applyFill="1" applyBorder="1" applyAlignment="1" applyProtection="1">
      <alignment vertical="center" wrapText="1"/>
      <protection locked="0"/>
    </xf>
    <xf numFmtId="2" fontId="12" fillId="6" borderId="7" xfId="4" applyNumberFormat="1" applyFont="1" applyFill="1" applyBorder="1" applyAlignment="1" applyProtection="1">
      <alignment horizontal="right" vertical="center" wrapText="1"/>
      <protection locked="0"/>
    </xf>
    <xf numFmtId="0" fontId="3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43" fontId="3" fillId="7" borderId="8" xfId="0" applyNumberFormat="1" applyFont="1" applyFill="1" applyBorder="1" applyAlignment="1">
      <alignment horizontal="right" vertical="center" wrapText="1"/>
    </xf>
    <xf numFmtId="9" fontId="0" fillId="0" borderId="0" xfId="0" applyNumberFormat="1"/>
    <xf numFmtId="0" fontId="12" fillId="6" borderId="8" xfId="4" applyFont="1" applyFill="1" applyBorder="1" applyAlignment="1" applyProtection="1">
      <alignment horizontal="center" vertical="center" wrapText="1"/>
      <protection locked="0"/>
    </xf>
    <xf numFmtId="0" fontId="12" fillId="6" borderId="8" xfId="4" applyFont="1" applyFill="1" applyBorder="1" applyAlignment="1" applyProtection="1">
      <alignment vertical="center" wrapText="1"/>
      <protection locked="0"/>
    </xf>
    <xf numFmtId="2" fontId="12" fillId="6" borderId="8" xfId="4" applyNumberFormat="1" applyFont="1" applyFill="1" applyBorder="1" applyAlignment="1" applyProtection="1">
      <alignment horizontal="right" vertical="center" wrapText="1"/>
      <protection locked="0"/>
    </xf>
    <xf numFmtId="43" fontId="0" fillId="0" borderId="0" xfId="0" applyNumberFormat="1"/>
    <xf numFmtId="9" fontId="3" fillId="0" borderId="0" xfId="0" applyNumberFormat="1" applyFont="1"/>
    <xf numFmtId="0" fontId="3" fillId="0" borderId="8" xfId="4" applyFont="1" applyBorder="1" applyAlignment="1" applyProtection="1">
      <alignment horizontal="center" vertical="center" wrapText="1"/>
      <protection locked="0"/>
    </xf>
    <xf numFmtId="0" fontId="3" fillId="0" borderId="8" xfId="4" applyFont="1" applyBorder="1" applyAlignment="1" applyProtection="1">
      <alignment vertical="center" wrapText="1"/>
      <protection locked="0"/>
    </xf>
    <xf numFmtId="0" fontId="0" fillId="0" borderId="1" xfId="0" applyBorder="1"/>
    <xf numFmtId="0" fontId="0" fillId="0" borderId="2" xfId="0" applyBorder="1"/>
    <xf numFmtId="0" fontId="11" fillId="5" borderId="8" xfId="4" applyFont="1" applyFill="1" applyBorder="1" applyAlignment="1" applyProtection="1">
      <alignment horizontal="center" vertical="center" wrapText="1"/>
      <protection locked="0"/>
    </xf>
    <xf numFmtId="0" fontId="11" fillId="5" borderId="8" xfId="4" applyFont="1" applyFill="1" applyBorder="1" applyAlignment="1" applyProtection="1">
      <alignment vertical="center" wrapText="1"/>
      <protection locked="0"/>
    </xf>
    <xf numFmtId="0" fontId="0" fillId="0" borderId="6" xfId="0" applyBorder="1"/>
    <xf numFmtId="0" fontId="2" fillId="0" borderId="0" xfId="0" applyFont="1"/>
    <xf numFmtId="0" fontId="2" fillId="0" borderId="1" xfId="0" applyFont="1" applyBorder="1"/>
    <xf numFmtId="0" fontId="12" fillId="5" borderId="8" xfId="4" applyFont="1" applyFill="1" applyBorder="1" applyAlignment="1" applyProtection="1">
      <alignment vertical="center" wrapText="1"/>
      <protection locked="0"/>
    </xf>
    <xf numFmtId="0" fontId="12" fillId="7" borderId="8" xfId="4" applyFont="1" applyFill="1" applyBorder="1" applyAlignment="1" applyProtection="1">
      <alignment horizontal="center" vertical="center" wrapText="1"/>
      <protection locked="0"/>
    </xf>
    <xf numFmtId="0" fontId="12" fillId="7" borderId="8" xfId="4" applyFont="1" applyFill="1" applyBorder="1" applyAlignment="1" applyProtection="1">
      <alignment vertical="center" wrapText="1"/>
      <protection locked="0"/>
    </xf>
    <xf numFmtId="2" fontId="12" fillId="7" borderId="8" xfId="4" applyNumberFormat="1" applyFont="1" applyFill="1" applyBorder="1" applyAlignment="1" applyProtection="1">
      <alignment horizontal="right" vertical="center" wrapText="1"/>
      <protection locked="0"/>
    </xf>
    <xf numFmtId="0" fontId="12" fillId="7" borderId="8" xfId="4" applyFont="1" applyFill="1" applyBorder="1" applyAlignment="1" applyProtection="1">
      <alignment horizontal="left" vertical="center" wrapText="1"/>
      <protection locked="0"/>
    </xf>
    <xf numFmtId="0" fontId="3" fillId="7" borderId="8" xfId="4" applyFont="1" applyFill="1" applyBorder="1" applyAlignment="1" applyProtection="1">
      <alignment horizontal="center" vertical="center" wrapText="1"/>
      <protection locked="0"/>
    </xf>
    <xf numFmtId="0" fontId="13" fillId="7" borderId="8" xfId="4" applyFont="1" applyFill="1" applyBorder="1" applyAlignment="1" applyProtection="1">
      <alignment vertical="center" wrapText="1"/>
      <protection locked="0"/>
    </xf>
    <xf numFmtId="0" fontId="12" fillId="5" borderId="4" xfId="4" applyFont="1" applyFill="1" applyBorder="1" applyAlignment="1" applyProtection="1">
      <alignment vertical="center" wrapText="1"/>
      <protection locked="0"/>
    </xf>
    <xf numFmtId="0" fontId="3" fillId="0" borderId="7" xfId="4" applyFont="1" applyBorder="1" applyAlignment="1" applyProtection="1">
      <alignment horizontal="center" vertical="center" wrapText="1"/>
      <protection locked="0"/>
    </xf>
    <xf numFmtId="0" fontId="3" fillId="0" borderId="7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43" fontId="3" fillId="7" borderId="7" xfId="0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2" fontId="0" fillId="0" borderId="0" xfId="0" applyNumberFormat="1" applyAlignment="1">
      <alignment horizontal="right"/>
    </xf>
    <xf numFmtId="0" fontId="14" fillId="2" borderId="1" xfId="1" applyFont="1" applyFill="1" applyBorder="1" applyAlignment="1">
      <alignment horizontal="right" vertical="top" wrapText="1"/>
    </xf>
    <xf numFmtId="0" fontId="14" fillId="2" borderId="1" xfId="1" applyFont="1" applyFill="1" applyBorder="1" applyAlignment="1">
      <alignment horizontal="left" vertical="top" wrapText="1"/>
    </xf>
    <xf numFmtId="0" fontId="15" fillId="0" borderId="1" xfId="1" applyFont="1" applyBorder="1" applyAlignment="1">
      <alignment horizontal="right" vertical="center"/>
    </xf>
    <xf numFmtId="0" fontId="16" fillId="0" borderId="1" xfId="1" applyFont="1" applyBorder="1" applyAlignment="1">
      <alignment horizontal="left" vertical="top" wrapText="1"/>
    </xf>
    <xf numFmtId="0" fontId="15" fillId="0" borderId="1" xfId="1" applyFont="1" applyBorder="1" applyAlignment="1">
      <alignment horizontal="center" vertical="center"/>
    </xf>
    <xf numFmtId="164" fontId="15" fillId="0" borderId="1" xfId="5" applyFont="1" applyBorder="1" applyAlignment="1">
      <alignment horizontal="right" vertical="center"/>
    </xf>
    <xf numFmtId="0" fontId="16" fillId="0" borderId="1" xfId="1" applyFont="1" applyBorder="1" applyAlignment="1">
      <alignment horizontal="right" vertical="top" wrapText="1"/>
    </xf>
    <xf numFmtId="0" fontId="16" fillId="0" borderId="1" xfId="1" applyFont="1" applyBorder="1" applyAlignment="1">
      <alignment horizontal="center" vertical="top" wrapText="1"/>
    </xf>
    <xf numFmtId="0" fontId="15" fillId="0" borderId="0" xfId="1" applyFont="1" applyAlignment="1">
      <alignment horizontal="right" vertical="center"/>
    </xf>
    <xf numFmtId="0" fontId="15" fillId="0" borderId="0" xfId="1" applyFont="1" applyAlignment="1">
      <alignment horizontal="left" vertical="center" wrapText="1"/>
    </xf>
    <xf numFmtId="0" fontId="15" fillId="0" borderId="0" xfId="1" applyFont="1" applyAlignment="1">
      <alignment horizontal="center" vertical="center"/>
    </xf>
    <xf numFmtId="164" fontId="15" fillId="0" borderId="0" xfId="5" applyFont="1" applyBorder="1" applyAlignment="1">
      <alignment horizontal="right" vertical="center"/>
    </xf>
    <xf numFmtId="0" fontId="17" fillId="8" borderId="1" xfId="6" applyFill="1" applyBorder="1"/>
    <xf numFmtId="0" fontId="17" fillId="8" borderId="12" xfId="6" applyFill="1" applyBorder="1"/>
    <xf numFmtId="0" fontId="17" fillId="8" borderId="13" xfId="6" applyFill="1" applyBorder="1"/>
    <xf numFmtId="0" fontId="17" fillId="8" borderId="14" xfId="6" applyFill="1" applyBorder="1"/>
    <xf numFmtId="0" fontId="17" fillId="8" borderId="15" xfId="6" applyFill="1" applyBorder="1"/>
    <xf numFmtId="0" fontId="17" fillId="8" borderId="16" xfId="6" applyFill="1" applyBorder="1"/>
    <xf numFmtId="0" fontId="20" fillId="10" borderId="22" xfId="0" applyFont="1" applyFill="1" applyBorder="1" applyAlignment="1">
      <alignment horizontal="center" vertical="center"/>
    </xf>
    <xf numFmtId="0" fontId="20" fillId="10" borderId="24" xfId="0" applyFont="1" applyFill="1" applyBorder="1" applyAlignment="1">
      <alignment horizontal="center" vertical="center"/>
    </xf>
    <xf numFmtId="0" fontId="20" fillId="0" borderId="22" xfId="0" applyFont="1" applyBorder="1" applyAlignment="1">
      <alignment horizontal="left" vertical="center"/>
    </xf>
    <xf numFmtId="0" fontId="20" fillId="0" borderId="22" xfId="0" applyFont="1" applyBorder="1" applyAlignment="1">
      <alignment horizontal="center" vertical="center"/>
    </xf>
    <xf numFmtId="0" fontId="21" fillId="0" borderId="22" xfId="0" applyFont="1" applyBorder="1" applyAlignment="1">
      <alignment vertical="center" wrapText="1"/>
    </xf>
    <xf numFmtId="0" fontId="21" fillId="0" borderId="24" xfId="0" applyFont="1" applyBorder="1" applyAlignment="1">
      <alignment vertical="center" wrapText="1"/>
    </xf>
    <xf numFmtId="0" fontId="20" fillId="0" borderId="24" xfId="0" applyFont="1" applyBorder="1" applyAlignment="1">
      <alignment horizontal="center" vertical="center"/>
    </xf>
    <xf numFmtId="0" fontId="5" fillId="11" borderId="25" xfId="0" applyFont="1" applyFill="1" applyBorder="1" applyAlignment="1">
      <alignment horizontal="left" vertical="top" wrapText="1"/>
    </xf>
    <xf numFmtId="0" fontId="5" fillId="11" borderId="25" xfId="0" applyFont="1" applyFill="1" applyBorder="1" applyAlignment="1">
      <alignment horizontal="right" vertical="top" wrapText="1"/>
    </xf>
    <xf numFmtId="0" fontId="6" fillId="12" borderId="25" xfId="0" applyFont="1" applyFill="1" applyBorder="1" applyAlignment="1">
      <alignment horizontal="left" vertical="top" wrapText="1"/>
    </xf>
    <xf numFmtId="0" fontId="6" fillId="12" borderId="25" xfId="0" applyFont="1" applyFill="1" applyBorder="1" applyAlignment="1">
      <alignment horizontal="right" vertical="top" wrapText="1"/>
    </xf>
    <xf numFmtId="0" fontId="6" fillId="12" borderId="25" xfId="0" applyFont="1" applyFill="1" applyBorder="1" applyAlignment="1">
      <alignment horizontal="center" vertical="top" wrapText="1"/>
    </xf>
    <xf numFmtId="0" fontId="8" fillId="3" borderId="3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center"/>
    </xf>
    <xf numFmtId="0" fontId="18" fillId="2" borderId="3" xfId="1" applyFont="1" applyFill="1" applyBorder="1" applyAlignment="1">
      <alignment horizontal="center" vertical="top" wrapText="1"/>
    </xf>
    <xf numFmtId="0" fontId="18" fillId="2" borderId="4" xfId="1" applyFont="1" applyFill="1" applyBorder="1" applyAlignment="1">
      <alignment horizontal="center" vertical="top" wrapText="1"/>
    </xf>
    <xf numFmtId="0" fontId="18" fillId="2" borderId="9" xfId="1" applyFont="1" applyFill="1" applyBorder="1" applyAlignment="1">
      <alignment horizontal="center" vertical="top" wrapText="1"/>
    </xf>
    <xf numFmtId="0" fontId="18" fillId="2" borderId="10" xfId="1" applyFont="1" applyFill="1" applyBorder="1" applyAlignment="1">
      <alignment horizontal="center" vertical="top" wrapText="1"/>
    </xf>
    <xf numFmtId="0" fontId="18" fillId="2" borderId="11" xfId="1" applyFont="1" applyFill="1" applyBorder="1" applyAlignment="1">
      <alignment horizontal="center" vertical="top" wrapText="1"/>
    </xf>
    <xf numFmtId="0" fontId="19" fillId="9" borderId="17" xfId="0" applyFont="1" applyFill="1" applyBorder="1" applyAlignment="1">
      <alignment horizontal="center" vertical="center"/>
    </xf>
    <xf numFmtId="0" fontId="19" fillId="9" borderId="18" xfId="0" applyFont="1" applyFill="1" applyBorder="1" applyAlignment="1">
      <alignment horizontal="center" vertical="center"/>
    </xf>
    <xf numFmtId="0" fontId="19" fillId="9" borderId="19" xfId="0" applyFont="1" applyFill="1" applyBorder="1" applyAlignment="1">
      <alignment horizontal="center" vertical="center"/>
    </xf>
    <xf numFmtId="0" fontId="20" fillId="10" borderId="17" xfId="0" applyFont="1" applyFill="1" applyBorder="1" applyAlignment="1">
      <alignment horizontal="center" vertical="center"/>
    </xf>
    <xf numFmtId="0" fontId="20" fillId="10" borderId="19" xfId="0" applyFont="1" applyFill="1" applyBorder="1" applyAlignment="1">
      <alignment horizontal="center" vertical="center"/>
    </xf>
    <xf numFmtId="0" fontId="20" fillId="10" borderId="20" xfId="0" applyFont="1" applyFill="1" applyBorder="1" applyAlignment="1">
      <alignment horizontal="center" vertical="center"/>
    </xf>
    <xf numFmtId="0" fontId="20" fillId="10" borderId="21" xfId="0" applyFont="1" applyFill="1" applyBorder="1" applyAlignment="1">
      <alignment horizontal="center" vertical="center"/>
    </xf>
    <xf numFmtId="0" fontId="20" fillId="10" borderId="23" xfId="0" applyFont="1" applyFill="1" applyBorder="1" applyAlignment="1">
      <alignment horizontal="center" vertical="center"/>
    </xf>
    <xf numFmtId="0" fontId="20" fillId="10" borderId="18" xfId="0" applyFont="1" applyFill="1" applyBorder="1" applyAlignment="1">
      <alignment horizontal="center" vertical="center"/>
    </xf>
    <xf numFmtId="0" fontId="20" fillId="0" borderId="20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23" xfId="0" applyFont="1" applyBorder="1" applyAlignment="1">
      <alignment horizontal="center" vertical="center"/>
    </xf>
    <xf numFmtId="0" fontId="20" fillId="0" borderId="20" xfId="0" applyFont="1" applyBorder="1" applyAlignment="1">
      <alignment horizontal="left" vertical="center"/>
    </xf>
    <xf numFmtId="0" fontId="20" fillId="0" borderId="21" xfId="0" applyFont="1" applyBorder="1" applyAlignment="1">
      <alignment horizontal="left" vertical="center"/>
    </xf>
    <xf numFmtId="0" fontId="22" fillId="11" borderId="26" xfId="0" applyFont="1" applyFill="1" applyBorder="1" applyAlignment="1">
      <alignment horizontal="center" vertical="top" wrapText="1"/>
    </xf>
    <xf numFmtId="0" fontId="22" fillId="11" borderId="27" xfId="0" applyFont="1" applyFill="1" applyBorder="1" applyAlignment="1">
      <alignment horizontal="center" vertical="top" wrapText="1"/>
    </xf>
    <xf numFmtId="0" fontId="22" fillId="11" borderId="28" xfId="0" applyFont="1" applyFill="1" applyBorder="1" applyAlignment="1">
      <alignment horizontal="center" vertical="top" wrapText="1"/>
    </xf>
    <xf numFmtId="0" fontId="9" fillId="0" borderId="3" xfId="2" applyFont="1" applyBorder="1" applyAlignment="1" applyProtection="1">
      <alignment horizontal="center" vertical="top"/>
      <protection locked="0"/>
    </xf>
    <xf numFmtId="0" fontId="9" fillId="0" borderId="4" xfId="2" applyFont="1" applyBorder="1" applyAlignment="1" applyProtection="1">
      <alignment horizontal="center" vertical="top"/>
      <protection locked="0"/>
    </xf>
    <xf numFmtId="0" fontId="9" fillId="0" borderId="5" xfId="2" applyFont="1" applyBorder="1" applyAlignment="1" applyProtection="1">
      <alignment horizontal="center" vertical="top"/>
      <protection locked="0"/>
    </xf>
    <xf numFmtId="0" fontId="10" fillId="4" borderId="1" xfId="0" applyFont="1" applyFill="1" applyBorder="1" applyAlignment="1">
      <alignment horizontal="center" vertical="center"/>
    </xf>
    <xf numFmtId="0" fontId="11" fillId="4" borderId="1" xfId="3" applyFont="1" applyFill="1" applyBorder="1" applyAlignment="1" applyProtection="1">
      <alignment vertical="center" wrapText="1"/>
      <protection locked="0"/>
    </xf>
    <xf numFmtId="0" fontId="10" fillId="4" borderId="1" xfId="3" applyFont="1" applyFill="1" applyBorder="1" applyAlignment="1" applyProtection="1">
      <alignment horizontal="center" vertical="center" wrapText="1"/>
      <protection locked="0"/>
    </xf>
    <xf numFmtId="2" fontId="11" fillId="4" borderId="1" xfId="3" applyNumberFormat="1" applyFont="1" applyFill="1" applyBorder="1" applyAlignment="1">
      <alignment horizontal="center" vertical="center" wrapText="1"/>
    </xf>
    <xf numFmtId="0" fontId="14" fillId="2" borderId="1" xfId="1" applyFont="1" applyFill="1" applyBorder="1" applyAlignment="1">
      <alignment horizontal="center" vertical="top" wrapText="1"/>
    </xf>
  </cellXfs>
  <cellStyles count="7">
    <cellStyle name="Normal" xfId="0" builtinId="0"/>
    <cellStyle name="Normal 2" xfId="6" xr:uid="{35525877-765B-40F5-A932-7F4415275C56}"/>
    <cellStyle name="Normal 2 2 2 2" xfId="1" xr:uid="{E720F93E-B5A4-4199-A7E6-B2479790F465}"/>
    <cellStyle name="Normal 28 2 3" xfId="2" xr:uid="{267B00BD-D059-4D51-B33D-CC14A8AAAFC6}"/>
    <cellStyle name="Normal 3 3" xfId="4" xr:uid="{86D25ED4-24CC-45FF-9134-21118486D89A}"/>
    <cellStyle name="Normal 3 4" xfId="3" xr:uid="{49320C0D-BA63-4555-9EDF-D0B5EDCC4C4F}"/>
    <cellStyle name="Vírgula 6 2 2 2" xfId="5" xr:uid="{30A63C0C-2FC8-4DBF-B4B5-54C8A3FFE4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BD58C-F72D-40B5-A9A1-463D9308DD07}">
  <dimension ref="A1:D75"/>
  <sheetViews>
    <sheetView tabSelected="1" workbookViewId="0">
      <selection sqref="A1:D1"/>
    </sheetView>
  </sheetViews>
  <sheetFormatPr defaultRowHeight="12.75" x14ac:dyDescent="0.2"/>
  <cols>
    <col min="2" max="2" width="54.7109375" customWidth="1"/>
  </cols>
  <sheetData>
    <row r="1" spans="1:4" ht="16.5" customHeight="1" x14ac:dyDescent="0.3">
      <c r="A1" s="85" t="s">
        <v>32</v>
      </c>
      <c r="B1" s="86"/>
      <c r="C1" s="86"/>
      <c r="D1" s="87"/>
    </row>
    <row r="2" spans="1:4" x14ac:dyDescent="0.2">
      <c r="A2" s="5">
        <v>1</v>
      </c>
      <c r="B2" s="1" t="s">
        <v>33</v>
      </c>
      <c r="C2" s="1"/>
      <c r="D2" s="2"/>
    </row>
    <row r="3" spans="1:4" ht="25.5" x14ac:dyDescent="0.2">
      <c r="A3" s="3" t="s">
        <v>103</v>
      </c>
      <c r="B3" s="4" t="s">
        <v>34</v>
      </c>
      <c r="C3" s="3" t="s">
        <v>2</v>
      </c>
      <c r="D3" s="3">
        <v>62.43</v>
      </c>
    </row>
    <row r="4" spans="1:4" x14ac:dyDescent="0.2">
      <c r="A4" s="5">
        <v>2</v>
      </c>
      <c r="B4" s="1" t="s">
        <v>35</v>
      </c>
      <c r="C4" s="1"/>
      <c r="D4" s="2"/>
    </row>
    <row r="5" spans="1:4" ht="51" x14ac:dyDescent="0.2">
      <c r="A5" s="3" t="s">
        <v>104</v>
      </c>
      <c r="B5" s="4" t="s">
        <v>36</v>
      </c>
      <c r="C5" s="3" t="s">
        <v>30</v>
      </c>
      <c r="D5" s="3">
        <v>89.17</v>
      </c>
    </row>
    <row r="6" spans="1:4" ht="38.25" x14ac:dyDescent="0.2">
      <c r="A6" s="3" t="s">
        <v>105</v>
      </c>
      <c r="B6" s="4" t="s">
        <v>37</v>
      </c>
      <c r="C6" s="3" t="s">
        <v>30</v>
      </c>
      <c r="D6" s="3">
        <v>193.17</v>
      </c>
    </row>
    <row r="7" spans="1:4" ht="51" x14ac:dyDescent="0.2">
      <c r="A7" s="3" t="s">
        <v>106</v>
      </c>
      <c r="B7" s="4" t="s">
        <v>38</v>
      </c>
      <c r="C7" s="3" t="s">
        <v>30</v>
      </c>
      <c r="D7" s="3">
        <v>369.13</v>
      </c>
    </row>
    <row r="8" spans="1:4" ht="38.25" x14ac:dyDescent="0.2">
      <c r="A8" s="3" t="s">
        <v>107</v>
      </c>
      <c r="B8" s="4" t="s">
        <v>39</v>
      </c>
      <c r="C8" s="3" t="s">
        <v>30</v>
      </c>
      <c r="D8" s="3">
        <v>1093.01</v>
      </c>
    </row>
    <row r="9" spans="1:4" ht="51" x14ac:dyDescent="0.2">
      <c r="A9" s="3" t="s">
        <v>108</v>
      </c>
      <c r="B9" s="4" t="s">
        <v>40</v>
      </c>
      <c r="C9" s="3" t="s">
        <v>30</v>
      </c>
      <c r="D9" s="3">
        <v>189.57</v>
      </c>
    </row>
    <row r="10" spans="1:4" ht="51" x14ac:dyDescent="0.2">
      <c r="A10" s="3" t="s">
        <v>109</v>
      </c>
      <c r="B10" s="4" t="s">
        <v>41</v>
      </c>
      <c r="C10" s="3" t="s">
        <v>30</v>
      </c>
      <c r="D10" s="3">
        <v>878.33</v>
      </c>
    </row>
    <row r="11" spans="1:4" ht="25.5" x14ac:dyDescent="0.2">
      <c r="A11" s="3" t="s">
        <v>110</v>
      </c>
      <c r="B11" s="4" t="s">
        <v>42</v>
      </c>
      <c r="C11" s="3" t="s">
        <v>20</v>
      </c>
      <c r="D11" s="3">
        <v>35</v>
      </c>
    </row>
    <row r="12" spans="1:4" ht="38.25" x14ac:dyDescent="0.2">
      <c r="A12" s="3" t="s">
        <v>111</v>
      </c>
      <c r="B12" s="4" t="s">
        <v>43</v>
      </c>
      <c r="C12" s="3" t="s">
        <v>30</v>
      </c>
      <c r="D12" s="3">
        <v>15.13</v>
      </c>
    </row>
    <row r="13" spans="1:4" x14ac:dyDescent="0.2">
      <c r="A13" s="5">
        <v>3</v>
      </c>
      <c r="B13" s="1" t="s">
        <v>44</v>
      </c>
      <c r="C13" s="1"/>
      <c r="D13" s="2"/>
    </row>
    <row r="14" spans="1:4" ht="38.25" x14ac:dyDescent="0.2">
      <c r="A14" s="3" t="s">
        <v>112</v>
      </c>
      <c r="B14" s="4" t="s">
        <v>45</v>
      </c>
      <c r="C14" s="3" t="s">
        <v>30</v>
      </c>
      <c r="D14" s="3">
        <v>35.840000000000003</v>
      </c>
    </row>
    <row r="15" spans="1:4" ht="25.5" x14ac:dyDescent="0.2">
      <c r="A15" s="3" t="s">
        <v>113</v>
      </c>
      <c r="B15" s="4" t="s">
        <v>46</v>
      </c>
      <c r="C15" s="3" t="s">
        <v>30</v>
      </c>
      <c r="D15" s="3">
        <v>20.440000000000001</v>
      </c>
    </row>
    <row r="16" spans="1:4" ht="51" x14ac:dyDescent="0.2">
      <c r="A16" s="3" t="s">
        <v>114</v>
      </c>
      <c r="B16" s="4" t="s">
        <v>47</v>
      </c>
      <c r="C16" s="3" t="s">
        <v>30</v>
      </c>
      <c r="D16" s="3">
        <v>2385.64</v>
      </c>
    </row>
    <row r="17" spans="1:4" ht="51" x14ac:dyDescent="0.2">
      <c r="A17" s="3" t="s">
        <v>115</v>
      </c>
      <c r="B17" s="4" t="s">
        <v>48</v>
      </c>
      <c r="C17" s="3" t="s">
        <v>30</v>
      </c>
      <c r="D17" s="3">
        <v>4771.28</v>
      </c>
    </row>
    <row r="18" spans="1:4" ht="63.75" x14ac:dyDescent="0.2">
      <c r="A18" s="3" t="s">
        <v>116</v>
      </c>
      <c r="B18" s="4" t="s">
        <v>49</v>
      </c>
      <c r="C18" s="3" t="s">
        <v>30</v>
      </c>
      <c r="D18" s="3">
        <v>4771.28</v>
      </c>
    </row>
    <row r="19" spans="1:4" ht="51" x14ac:dyDescent="0.2">
      <c r="A19" s="3" t="s">
        <v>117</v>
      </c>
      <c r="B19" s="4" t="s">
        <v>50</v>
      </c>
      <c r="C19" s="3" t="s">
        <v>30</v>
      </c>
      <c r="D19" s="3">
        <v>17.61</v>
      </c>
    </row>
    <row r="20" spans="1:4" ht="63.75" x14ac:dyDescent="0.2">
      <c r="A20" s="3" t="s">
        <v>118</v>
      </c>
      <c r="B20" s="4" t="s">
        <v>51</v>
      </c>
      <c r="C20" s="3" t="s">
        <v>30</v>
      </c>
      <c r="D20" s="3">
        <v>39.229999999999997</v>
      </c>
    </row>
    <row r="21" spans="1:4" x14ac:dyDescent="0.2">
      <c r="A21" s="5">
        <v>4</v>
      </c>
      <c r="B21" s="1" t="s">
        <v>52</v>
      </c>
      <c r="C21" s="1"/>
      <c r="D21" s="2"/>
    </row>
    <row r="22" spans="1:4" x14ac:dyDescent="0.2">
      <c r="A22" s="5" t="s">
        <v>119</v>
      </c>
      <c r="B22" s="1" t="s">
        <v>53</v>
      </c>
      <c r="C22" s="1"/>
      <c r="D22" s="2"/>
    </row>
    <row r="23" spans="1:4" ht="76.5" x14ac:dyDescent="0.2">
      <c r="A23" s="3" t="s">
        <v>131</v>
      </c>
      <c r="B23" s="4" t="s">
        <v>54</v>
      </c>
      <c r="C23" s="3" t="s">
        <v>4</v>
      </c>
      <c r="D23" s="3">
        <v>30</v>
      </c>
    </row>
    <row r="24" spans="1:4" ht="63.75" x14ac:dyDescent="0.2">
      <c r="A24" s="3" t="s">
        <v>132</v>
      </c>
      <c r="B24" s="4" t="s">
        <v>55</v>
      </c>
      <c r="C24" s="3" t="s">
        <v>4</v>
      </c>
      <c r="D24" s="3">
        <v>4</v>
      </c>
    </row>
    <row r="25" spans="1:4" ht="76.5" x14ac:dyDescent="0.2">
      <c r="A25" s="3" t="s">
        <v>133</v>
      </c>
      <c r="B25" s="4" t="s">
        <v>56</v>
      </c>
      <c r="C25" s="3" t="s">
        <v>4</v>
      </c>
      <c r="D25" s="3">
        <v>3</v>
      </c>
    </row>
    <row r="26" spans="1:4" ht="38.25" x14ac:dyDescent="0.2">
      <c r="A26" s="3" t="s">
        <v>134</v>
      </c>
      <c r="B26" s="4" t="s">
        <v>57</v>
      </c>
      <c r="C26" s="3" t="s">
        <v>30</v>
      </c>
      <c r="D26" s="3">
        <v>18.36</v>
      </c>
    </row>
    <row r="27" spans="1:4" ht="38.25" x14ac:dyDescent="0.2">
      <c r="A27" s="3" t="s">
        <v>135</v>
      </c>
      <c r="B27" s="4" t="s">
        <v>58</v>
      </c>
      <c r="C27" s="3" t="s">
        <v>30</v>
      </c>
      <c r="D27" s="3">
        <v>3.78</v>
      </c>
    </row>
    <row r="28" spans="1:4" ht="25.5" x14ac:dyDescent="0.2">
      <c r="A28" s="3" t="s">
        <v>136</v>
      </c>
      <c r="B28" s="4" t="s">
        <v>59</v>
      </c>
      <c r="C28" s="3" t="s">
        <v>30</v>
      </c>
      <c r="D28" s="3">
        <v>8.4</v>
      </c>
    </row>
    <row r="29" spans="1:4" ht="38.25" x14ac:dyDescent="0.2">
      <c r="A29" s="3" t="s">
        <v>137</v>
      </c>
      <c r="B29" s="4" t="s">
        <v>60</v>
      </c>
      <c r="C29" s="3" t="s">
        <v>30</v>
      </c>
      <c r="D29" s="3">
        <v>8.1999999999999993</v>
      </c>
    </row>
    <row r="30" spans="1:4" x14ac:dyDescent="0.2">
      <c r="A30" s="3" t="s">
        <v>138</v>
      </c>
      <c r="B30" s="4" t="s">
        <v>61</v>
      </c>
      <c r="C30" s="3" t="s">
        <v>30</v>
      </c>
      <c r="D30" s="3">
        <v>2.85</v>
      </c>
    </row>
    <row r="31" spans="1:4" ht="38.25" x14ac:dyDescent="0.2">
      <c r="A31" s="3" t="s">
        <v>139</v>
      </c>
      <c r="B31" s="4" t="s">
        <v>62</v>
      </c>
      <c r="C31" s="3" t="s">
        <v>4</v>
      </c>
      <c r="D31" s="3">
        <v>1</v>
      </c>
    </row>
    <row r="32" spans="1:4" ht="38.25" x14ac:dyDescent="0.2">
      <c r="A32" s="3" t="s">
        <v>140</v>
      </c>
      <c r="B32" s="4" t="s">
        <v>58</v>
      </c>
      <c r="C32" s="3" t="s">
        <v>30</v>
      </c>
      <c r="D32" s="3">
        <v>5.04</v>
      </c>
    </row>
    <row r="33" spans="1:4" ht="25.5" x14ac:dyDescent="0.2">
      <c r="A33" s="3" t="s">
        <v>141</v>
      </c>
      <c r="B33" s="4" t="s">
        <v>63</v>
      </c>
      <c r="C33" s="3" t="s">
        <v>4</v>
      </c>
      <c r="D33" s="3">
        <v>3</v>
      </c>
    </row>
    <row r="34" spans="1:4" x14ac:dyDescent="0.2">
      <c r="A34" s="5">
        <v>5</v>
      </c>
      <c r="B34" s="1" t="s">
        <v>64</v>
      </c>
      <c r="C34" s="1"/>
      <c r="D34" s="2"/>
    </row>
    <row r="35" spans="1:4" ht="51" x14ac:dyDescent="0.2">
      <c r="A35" s="3" t="s">
        <v>120</v>
      </c>
      <c r="B35" s="4" t="s">
        <v>65</v>
      </c>
      <c r="C35" s="3" t="s">
        <v>30</v>
      </c>
      <c r="D35" s="3">
        <v>4.9000000000000004</v>
      </c>
    </row>
    <row r="36" spans="1:4" x14ac:dyDescent="0.2">
      <c r="A36" s="3" t="s">
        <v>121</v>
      </c>
      <c r="B36" s="4" t="s">
        <v>66</v>
      </c>
      <c r="C36" s="3" t="s">
        <v>4</v>
      </c>
      <c r="D36" s="3">
        <v>1</v>
      </c>
    </row>
    <row r="37" spans="1:4" x14ac:dyDescent="0.2">
      <c r="A37" s="5">
        <v>6</v>
      </c>
      <c r="B37" s="1" t="s">
        <v>67</v>
      </c>
      <c r="C37" s="1"/>
      <c r="D37" s="2"/>
    </row>
    <row r="38" spans="1:4" x14ac:dyDescent="0.2">
      <c r="A38" s="5" t="s">
        <v>122</v>
      </c>
      <c r="B38" s="1" t="s">
        <v>68</v>
      </c>
      <c r="C38" s="1"/>
      <c r="D38" s="2"/>
    </row>
    <row r="39" spans="1:4" ht="25.5" x14ac:dyDescent="0.2">
      <c r="A39" s="3" t="s">
        <v>125</v>
      </c>
      <c r="B39" s="4" t="s">
        <v>69</v>
      </c>
      <c r="C39" s="3" t="s">
        <v>30</v>
      </c>
      <c r="D39" s="3">
        <v>2297</v>
      </c>
    </row>
    <row r="40" spans="1:4" ht="38.25" x14ac:dyDescent="0.2">
      <c r="A40" s="3" t="s">
        <v>126</v>
      </c>
      <c r="B40" s="4" t="s">
        <v>70</v>
      </c>
      <c r="C40" s="3" t="s">
        <v>30</v>
      </c>
      <c r="D40" s="3">
        <v>2297</v>
      </c>
    </row>
    <row r="41" spans="1:4" ht="38.25" x14ac:dyDescent="0.2">
      <c r="A41" s="3" t="s">
        <v>127</v>
      </c>
      <c r="B41" s="4" t="s">
        <v>71</v>
      </c>
      <c r="C41" s="3" t="s">
        <v>30</v>
      </c>
      <c r="D41" s="3">
        <v>2297</v>
      </c>
    </row>
    <row r="42" spans="1:4" x14ac:dyDescent="0.2">
      <c r="A42" s="5" t="s">
        <v>123</v>
      </c>
      <c r="B42" s="1" t="s">
        <v>72</v>
      </c>
      <c r="C42" s="1"/>
      <c r="D42" s="2"/>
    </row>
    <row r="43" spans="1:4" ht="25.5" x14ac:dyDescent="0.2">
      <c r="A43" s="3" t="s">
        <v>128</v>
      </c>
      <c r="B43" s="4" t="s">
        <v>69</v>
      </c>
      <c r="C43" s="3" t="s">
        <v>30</v>
      </c>
      <c r="D43" s="3">
        <v>1224.56</v>
      </c>
    </row>
    <row r="44" spans="1:4" ht="38.25" x14ac:dyDescent="0.2">
      <c r="A44" s="3" t="s">
        <v>129</v>
      </c>
      <c r="B44" s="4" t="s">
        <v>70</v>
      </c>
      <c r="C44" s="3" t="s">
        <v>30</v>
      </c>
      <c r="D44" s="3">
        <v>1224.56</v>
      </c>
    </row>
    <row r="45" spans="1:4" ht="38.25" x14ac:dyDescent="0.2">
      <c r="A45" s="3" t="s">
        <v>130</v>
      </c>
      <c r="B45" s="4" t="s">
        <v>71</v>
      </c>
      <c r="C45" s="3" t="s">
        <v>30</v>
      </c>
      <c r="D45" s="3">
        <v>1224.56</v>
      </c>
    </row>
    <row r="46" spans="1:4" x14ac:dyDescent="0.2">
      <c r="A46" s="5" t="s">
        <v>124</v>
      </c>
      <c r="B46" s="1" t="s">
        <v>73</v>
      </c>
      <c r="C46" s="1"/>
      <c r="D46" s="2"/>
    </row>
    <row r="47" spans="1:4" ht="51" x14ac:dyDescent="0.2">
      <c r="A47" s="3" t="s">
        <v>128</v>
      </c>
      <c r="B47" s="4" t="s">
        <v>74</v>
      </c>
      <c r="C47" s="3" t="s">
        <v>30</v>
      </c>
      <c r="D47" s="3">
        <v>336.73</v>
      </c>
    </row>
    <row r="48" spans="1:4" x14ac:dyDescent="0.2">
      <c r="A48" s="5">
        <v>7</v>
      </c>
      <c r="B48" s="1" t="s">
        <v>75</v>
      </c>
      <c r="C48" s="1"/>
      <c r="D48" s="2"/>
    </row>
    <row r="49" spans="1:4" ht="25.5" x14ac:dyDescent="0.2">
      <c r="A49" s="3" t="s">
        <v>142</v>
      </c>
      <c r="B49" s="4" t="s">
        <v>76</v>
      </c>
      <c r="C49" s="3" t="s">
        <v>20</v>
      </c>
      <c r="D49" s="3">
        <v>80.849999999999994</v>
      </c>
    </row>
    <row r="50" spans="1:4" ht="63.75" x14ac:dyDescent="0.2">
      <c r="A50" s="3" t="s">
        <v>143</v>
      </c>
      <c r="B50" s="4" t="s">
        <v>77</v>
      </c>
      <c r="C50" s="3" t="s">
        <v>20</v>
      </c>
      <c r="D50" s="3">
        <v>18.8</v>
      </c>
    </row>
    <row r="51" spans="1:4" x14ac:dyDescent="0.2">
      <c r="A51" s="5">
        <v>8</v>
      </c>
      <c r="B51" s="1" t="s">
        <v>78</v>
      </c>
      <c r="C51" s="1"/>
      <c r="D51" s="2"/>
    </row>
    <row r="52" spans="1:4" ht="25.5" x14ac:dyDescent="0.2">
      <c r="A52" s="3" t="s">
        <v>144</v>
      </c>
      <c r="B52" s="4" t="s">
        <v>79</v>
      </c>
      <c r="C52" s="3" t="s">
        <v>30</v>
      </c>
      <c r="D52" s="3">
        <v>1071.97</v>
      </c>
    </row>
    <row r="53" spans="1:4" x14ac:dyDescent="0.2">
      <c r="A53" s="5">
        <v>9</v>
      </c>
      <c r="B53" s="1" t="s">
        <v>80</v>
      </c>
      <c r="C53" s="1"/>
      <c r="D53" s="2"/>
    </row>
    <row r="54" spans="1:4" ht="38.25" x14ac:dyDescent="0.2">
      <c r="A54" s="3" t="s">
        <v>145</v>
      </c>
      <c r="B54" s="4" t="s">
        <v>81</v>
      </c>
      <c r="C54" s="3" t="s">
        <v>20</v>
      </c>
      <c r="D54" s="3">
        <v>52.79</v>
      </c>
    </row>
    <row r="55" spans="1:4" ht="25.5" x14ac:dyDescent="0.2">
      <c r="A55" s="3" t="s">
        <v>146</v>
      </c>
      <c r="B55" s="4" t="s">
        <v>82</v>
      </c>
      <c r="C55" s="3" t="s">
        <v>0</v>
      </c>
      <c r="D55" s="3">
        <v>81.75</v>
      </c>
    </row>
    <row r="56" spans="1:4" ht="63.75" x14ac:dyDescent="0.2">
      <c r="A56" s="3" t="s">
        <v>147</v>
      </c>
      <c r="B56" s="4" t="s">
        <v>83</v>
      </c>
      <c r="C56" s="3" t="s">
        <v>4</v>
      </c>
      <c r="D56" s="3">
        <v>12</v>
      </c>
    </row>
    <row r="57" spans="1:4" ht="63.75" x14ac:dyDescent="0.2">
      <c r="A57" s="3" t="s">
        <v>148</v>
      </c>
      <c r="B57" s="4" t="s">
        <v>84</v>
      </c>
      <c r="C57" s="3" t="s">
        <v>4</v>
      </c>
      <c r="D57" s="3">
        <v>1</v>
      </c>
    </row>
    <row r="58" spans="1:4" ht="63.75" x14ac:dyDescent="0.2">
      <c r="A58" s="3" t="s">
        <v>149</v>
      </c>
      <c r="B58" s="4" t="s">
        <v>85</v>
      </c>
      <c r="C58" s="3" t="s">
        <v>4</v>
      </c>
      <c r="D58" s="3">
        <v>1</v>
      </c>
    </row>
    <row r="59" spans="1:4" ht="63.75" x14ac:dyDescent="0.2">
      <c r="A59" s="3" t="s">
        <v>150</v>
      </c>
      <c r="B59" s="4" t="s">
        <v>86</v>
      </c>
      <c r="C59" s="3" t="s">
        <v>4</v>
      </c>
      <c r="D59" s="3">
        <v>1</v>
      </c>
    </row>
    <row r="60" spans="1:4" ht="38.25" x14ac:dyDescent="0.2">
      <c r="A60" s="3" t="s">
        <v>151</v>
      </c>
      <c r="B60" s="4" t="s">
        <v>87</v>
      </c>
      <c r="C60" s="3" t="s">
        <v>30</v>
      </c>
      <c r="D60" s="3">
        <v>375.24</v>
      </c>
    </row>
    <row r="61" spans="1:4" ht="25.5" x14ac:dyDescent="0.2">
      <c r="A61" s="3" t="s">
        <v>152</v>
      </c>
      <c r="B61" s="4" t="s">
        <v>88</v>
      </c>
      <c r="C61" s="3" t="s">
        <v>30</v>
      </c>
      <c r="D61" s="3">
        <v>375.24</v>
      </c>
    </row>
    <row r="62" spans="1:4" x14ac:dyDescent="0.2">
      <c r="A62" s="5">
        <v>10</v>
      </c>
      <c r="B62" s="1" t="s">
        <v>89</v>
      </c>
      <c r="C62" s="1"/>
      <c r="D62" s="2"/>
    </row>
    <row r="63" spans="1:4" x14ac:dyDescent="0.2">
      <c r="A63" s="3" t="s">
        <v>153</v>
      </c>
      <c r="B63" s="4" t="s">
        <v>90</v>
      </c>
      <c r="C63" s="3" t="s">
        <v>4</v>
      </c>
      <c r="D63" s="3">
        <v>19</v>
      </c>
    </row>
    <row r="64" spans="1:4" ht="38.25" x14ac:dyDescent="0.2">
      <c r="A64" s="3" t="s">
        <v>154</v>
      </c>
      <c r="B64" s="4" t="s">
        <v>91</v>
      </c>
      <c r="C64" s="3" t="s">
        <v>4</v>
      </c>
      <c r="D64" s="3">
        <v>15</v>
      </c>
    </row>
    <row r="65" spans="1:4" ht="25.5" x14ac:dyDescent="0.2">
      <c r="A65" s="3" t="s">
        <v>155</v>
      </c>
      <c r="B65" s="4" t="s">
        <v>92</v>
      </c>
      <c r="C65" s="3" t="s">
        <v>4</v>
      </c>
      <c r="D65" s="3">
        <v>25</v>
      </c>
    </row>
    <row r="66" spans="1:4" ht="38.25" x14ac:dyDescent="0.2">
      <c r="A66" s="3" t="s">
        <v>156</v>
      </c>
      <c r="B66" s="4" t="s">
        <v>93</v>
      </c>
      <c r="C66" s="3" t="s">
        <v>4</v>
      </c>
      <c r="D66" s="3">
        <v>6</v>
      </c>
    </row>
    <row r="67" spans="1:4" ht="38.25" x14ac:dyDescent="0.2">
      <c r="A67" s="3" t="s">
        <v>157</v>
      </c>
      <c r="B67" s="4" t="s">
        <v>94</v>
      </c>
      <c r="C67" s="3" t="s">
        <v>4</v>
      </c>
      <c r="D67" s="3">
        <v>3</v>
      </c>
    </row>
    <row r="68" spans="1:4" ht="38.25" x14ac:dyDescent="0.2">
      <c r="A68" s="3" t="s">
        <v>158</v>
      </c>
      <c r="B68" s="4" t="s">
        <v>95</v>
      </c>
      <c r="C68" s="3" t="s">
        <v>4</v>
      </c>
      <c r="D68" s="3">
        <v>6</v>
      </c>
    </row>
    <row r="69" spans="1:4" x14ac:dyDescent="0.2">
      <c r="A69" s="5">
        <v>11</v>
      </c>
      <c r="B69" s="1" t="s">
        <v>96</v>
      </c>
      <c r="C69" s="1"/>
      <c r="D69" s="2"/>
    </row>
    <row r="70" spans="1:4" x14ac:dyDescent="0.2">
      <c r="A70" s="3" t="s">
        <v>159</v>
      </c>
      <c r="B70" s="4" t="s">
        <v>97</v>
      </c>
      <c r="C70" s="3" t="s">
        <v>4</v>
      </c>
      <c r="D70" s="3">
        <v>1</v>
      </c>
    </row>
    <row r="71" spans="1:4" x14ac:dyDescent="0.2">
      <c r="A71" s="5">
        <v>12</v>
      </c>
      <c r="B71" s="1" t="s">
        <v>98</v>
      </c>
      <c r="C71" s="1"/>
      <c r="D71" s="2"/>
    </row>
    <row r="72" spans="1:4" x14ac:dyDescent="0.2">
      <c r="A72" s="3" t="s">
        <v>160</v>
      </c>
      <c r="B72" s="4" t="s">
        <v>99</v>
      </c>
      <c r="C72" s="3" t="s">
        <v>4</v>
      </c>
      <c r="D72" s="3">
        <v>1</v>
      </c>
    </row>
    <row r="73" spans="1:4" x14ac:dyDescent="0.2">
      <c r="A73" s="5">
        <v>13</v>
      </c>
      <c r="B73" s="1" t="s">
        <v>100</v>
      </c>
      <c r="C73" s="1"/>
      <c r="D73" s="2"/>
    </row>
    <row r="74" spans="1:4" ht="25.5" x14ac:dyDescent="0.2">
      <c r="A74" s="3" t="s">
        <v>161</v>
      </c>
      <c r="B74" s="4" t="s">
        <v>101</v>
      </c>
      <c r="C74" s="3" t="s">
        <v>4</v>
      </c>
      <c r="D74" s="3">
        <v>1</v>
      </c>
    </row>
    <row r="75" spans="1:4" x14ac:dyDescent="0.2">
      <c r="A75" s="3" t="s">
        <v>162</v>
      </c>
      <c r="B75" s="4" t="s">
        <v>102</v>
      </c>
      <c r="C75" s="3" t="s">
        <v>4</v>
      </c>
      <c r="D75" s="3">
        <v>1</v>
      </c>
    </row>
  </sheetData>
  <mergeCells count="1">
    <mergeCell ref="A1:D1"/>
  </mergeCells>
  <phoneticPr fontId="7" type="noConversion"/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AF545-78EE-413C-9636-927C55DF27C7}">
  <dimension ref="A1:X63"/>
  <sheetViews>
    <sheetView workbookViewId="0">
      <selection sqref="A1:D1"/>
    </sheetView>
  </sheetViews>
  <sheetFormatPr defaultRowHeight="12.75" x14ac:dyDescent="0.2"/>
  <cols>
    <col min="2" max="2" width="42.7109375" customWidth="1"/>
    <col min="4" max="4" width="10.42578125" bestFit="1" customWidth="1"/>
    <col min="6" max="6" width="19.5703125" customWidth="1"/>
    <col min="8" max="8" width="12.28515625" customWidth="1"/>
  </cols>
  <sheetData>
    <row r="1" spans="1:24" ht="16.5" customHeight="1" thickBot="1" x14ac:dyDescent="0.25">
      <c r="A1" s="88" t="s">
        <v>519</v>
      </c>
      <c r="B1" s="89"/>
      <c r="C1" s="89"/>
      <c r="D1" s="89"/>
      <c r="F1" s="90" t="s">
        <v>516</v>
      </c>
      <c r="G1" s="91"/>
      <c r="H1" s="91"/>
      <c r="I1" s="91"/>
      <c r="J1" s="92"/>
      <c r="L1" s="93" t="s">
        <v>549</v>
      </c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5"/>
    </row>
    <row r="2" spans="1:24" ht="13.5" thickBot="1" x14ac:dyDescent="0.25">
      <c r="A2" s="55" t="s">
        <v>467</v>
      </c>
      <c r="B2" s="56" t="s">
        <v>468</v>
      </c>
      <c r="C2" s="56"/>
      <c r="D2" s="55"/>
      <c r="F2" s="68" t="s">
        <v>487</v>
      </c>
      <c r="G2" s="67">
        <v>58</v>
      </c>
      <c r="H2" s="67" t="s">
        <v>488</v>
      </c>
      <c r="I2" s="67"/>
      <c r="J2" s="69"/>
      <c r="L2" s="96" t="s">
        <v>520</v>
      </c>
      <c r="M2" s="97"/>
      <c r="N2" s="98" t="s">
        <v>521</v>
      </c>
      <c r="O2" s="98" t="s">
        <v>522</v>
      </c>
      <c r="P2" s="96" t="s">
        <v>523</v>
      </c>
      <c r="Q2" s="101"/>
      <c r="R2" s="97"/>
      <c r="S2" s="96" t="s">
        <v>524</v>
      </c>
      <c r="T2" s="101"/>
      <c r="U2" s="97"/>
      <c r="V2" s="96" t="s">
        <v>525</v>
      </c>
      <c r="W2" s="101"/>
      <c r="X2" s="97"/>
    </row>
    <row r="3" spans="1:24" x14ac:dyDescent="0.2">
      <c r="A3" s="55" t="s">
        <v>469</v>
      </c>
      <c r="B3" s="56" t="s">
        <v>470</v>
      </c>
      <c r="C3" s="56"/>
      <c r="D3" s="55"/>
      <c r="F3" s="68" t="s">
        <v>489</v>
      </c>
      <c r="G3" s="67">
        <v>2.1</v>
      </c>
      <c r="H3" s="67" t="s">
        <v>0</v>
      </c>
      <c r="I3" s="67"/>
      <c r="J3" s="69"/>
      <c r="L3" s="98" t="s">
        <v>526</v>
      </c>
      <c r="M3" s="98" t="s">
        <v>527</v>
      </c>
      <c r="N3" s="99"/>
      <c r="O3" s="99"/>
      <c r="P3" s="73" t="s">
        <v>522</v>
      </c>
      <c r="Q3" s="73" t="s">
        <v>521</v>
      </c>
      <c r="R3" s="73" t="s">
        <v>520</v>
      </c>
      <c r="S3" s="73" t="s">
        <v>522</v>
      </c>
      <c r="T3" s="73" t="s">
        <v>521</v>
      </c>
      <c r="U3" s="73" t="s">
        <v>520</v>
      </c>
      <c r="V3" s="73" t="s">
        <v>522</v>
      </c>
      <c r="W3" s="73" t="s">
        <v>521</v>
      </c>
      <c r="X3" s="73" t="s">
        <v>520</v>
      </c>
    </row>
    <row r="4" spans="1:24" ht="13.5" thickBot="1" x14ac:dyDescent="0.25">
      <c r="A4" s="57"/>
      <c r="B4" s="58" t="s">
        <v>471</v>
      </c>
      <c r="C4" s="59" t="s">
        <v>472</v>
      </c>
      <c r="D4" s="60">
        <v>1296.5</v>
      </c>
      <c r="F4" s="68" t="s">
        <v>490</v>
      </c>
      <c r="G4" s="67">
        <v>121.80000000000001</v>
      </c>
      <c r="H4" s="67" t="s">
        <v>0</v>
      </c>
      <c r="I4" s="67"/>
      <c r="J4" s="69"/>
      <c r="L4" s="100"/>
      <c r="M4" s="100"/>
      <c r="N4" s="100"/>
      <c r="O4" s="100"/>
      <c r="P4" s="74" t="s">
        <v>528</v>
      </c>
      <c r="Q4" s="74" t="s">
        <v>528</v>
      </c>
      <c r="R4" s="74" t="s">
        <v>528</v>
      </c>
      <c r="S4" s="74" t="s">
        <v>529</v>
      </c>
      <c r="T4" s="74" t="s">
        <v>529</v>
      </c>
      <c r="U4" s="74" t="s">
        <v>529</v>
      </c>
      <c r="V4" s="74" t="s">
        <v>530</v>
      </c>
      <c r="W4" s="74" t="s">
        <v>530</v>
      </c>
      <c r="X4" s="74" t="s">
        <v>530</v>
      </c>
    </row>
    <row r="5" spans="1:24" x14ac:dyDescent="0.2">
      <c r="A5" s="57"/>
      <c r="B5" s="58" t="s">
        <v>473</v>
      </c>
      <c r="C5" s="59" t="s">
        <v>472</v>
      </c>
      <c r="D5" s="60">
        <v>4226</v>
      </c>
      <c r="F5" s="68" t="s">
        <v>491</v>
      </c>
      <c r="G5" s="67">
        <v>0.2</v>
      </c>
      <c r="H5" s="67" t="s">
        <v>0</v>
      </c>
      <c r="I5" s="67"/>
      <c r="J5" s="69"/>
      <c r="L5" s="102" t="s">
        <v>531</v>
      </c>
      <c r="M5" s="105" t="s">
        <v>532</v>
      </c>
      <c r="N5" s="108" t="s">
        <v>533</v>
      </c>
      <c r="O5" s="75" t="s">
        <v>534</v>
      </c>
      <c r="P5" s="76">
        <v>31.672000000000001</v>
      </c>
      <c r="Q5" s="77"/>
      <c r="R5" s="77"/>
      <c r="S5" s="76">
        <v>1E-3</v>
      </c>
      <c r="T5" s="77"/>
      <c r="U5" s="77"/>
      <c r="V5" s="76">
        <v>7.87</v>
      </c>
      <c r="W5" s="77"/>
      <c r="X5" s="77"/>
    </row>
    <row r="6" spans="1:24" x14ac:dyDescent="0.2">
      <c r="A6" s="57"/>
      <c r="B6" s="58" t="s">
        <v>474</v>
      </c>
      <c r="C6" s="59" t="s">
        <v>2</v>
      </c>
      <c r="D6" s="60">
        <v>20.81</v>
      </c>
      <c r="F6" s="68" t="s">
        <v>492</v>
      </c>
      <c r="G6" s="67">
        <v>3.1400000000000004E-2</v>
      </c>
      <c r="H6" s="67" t="s">
        <v>493</v>
      </c>
      <c r="I6" s="67"/>
      <c r="J6" s="69"/>
      <c r="L6" s="103"/>
      <c r="M6" s="106"/>
      <c r="N6" s="109"/>
      <c r="O6" s="77"/>
      <c r="P6" s="77"/>
      <c r="Q6" s="76">
        <v>31.672000000000001</v>
      </c>
      <c r="R6" s="77"/>
      <c r="S6" s="77"/>
      <c r="T6" s="76">
        <v>1E-3</v>
      </c>
      <c r="U6" s="77"/>
      <c r="V6" s="77"/>
      <c r="W6" s="76">
        <v>7.87</v>
      </c>
      <c r="X6" s="77"/>
    </row>
    <row r="7" spans="1:24" ht="13.5" thickBot="1" x14ac:dyDescent="0.25">
      <c r="A7" s="63"/>
      <c r="B7" s="64"/>
      <c r="C7" s="65"/>
      <c r="D7" s="66"/>
      <c r="F7" s="68" t="s">
        <v>494</v>
      </c>
      <c r="G7" s="67">
        <v>3.824520000000001</v>
      </c>
      <c r="H7" s="67" t="s">
        <v>495</v>
      </c>
      <c r="I7" s="67"/>
      <c r="J7" s="69"/>
      <c r="L7" s="104"/>
      <c r="M7" s="107"/>
      <c r="N7" s="78"/>
      <c r="O7" s="78"/>
      <c r="P7" s="78"/>
      <c r="Q7" s="78"/>
      <c r="R7" s="79">
        <v>31.672000000000001</v>
      </c>
      <c r="S7" s="78"/>
      <c r="T7" s="78"/>
      <c r="U7" s="79">
        <v>1E-3</v>
      </c>
      <c r="V7" s="78"/>
      <c r="W7" s="78"/>
      <c r="X7" s="79">
        <v>7.87</v>
      </c>
    </row>
    <row r="8" spans="1:24" ht="22.5" x14ac:dyDescent="0.2">
      <c r="A8" s="55" t="s">
        <v>197</v>
      </c>
      <c r="B8" s="56" t="s">
        <v>475</v>
      </c>
      <c r="C8" s="56"/>
      <c r="D8" s="55"/>
      <c r="F8" s="68" t="s">
        <v>496</v>
      </c>
      <c r="G8" s="67"/>
      <c r="H8" s="67"/>
      <c r="I8" s="67"/>
      <c r="J8" s="69"/>
      <c r="L8" s="102" t="s">
        <v>535</v>
      </c>
      <c r="M8" s="105" t="s">
        <v>532</v>
      </c>
      <c r="N8" s="108" t="s">
        <v>536</v>
      </c>
      <c r="O8" s="75" t="s">
        <v>537</v>
      </c>
      <c r="P8" s="76">
        <v>29.245000000000001</v>
      </c>
      <c r="Q8" s="77"/>
      <c r="R8" s="77"/>
      <c r="S8" s="76">
        <v>9.2999999999999999E-2</v>
      </c>
      <c r="T8" s="77"/>
      <c r="U8" s="77"/>
      <c r="V8" s="76">
        <v>730.42</v>
      </c>
      <c r="W8" s="77"/>
      <c r="X8" s="77"/>
    </row>
    <row r="9" spans="1:24" x14ac:dyDescent="0.2">
      <c r="A9" s="61"/>
      <c r="B9" s="58" t="s">
        <v>471</v>
      </c>
      <c r="C9" s="62" t="s">
        <v>472</v>
      </c>
      <c r="D9" s="61">
        <v>31.9</v>
      </c>
      <c r="F9" s="68" t="s">
        <v>497</v>
      </c>
      <c r="G9" s="67">
        <v>12.6</v>
      </c>
      <c r="H9" s="67" t="s">
        <v>498</v>
      </c>
      <c r="I9" s="67"/>
      <c r="J9" s="69"/>
      <c r="L9" s="103"/>
      <c r="M9" s="106"/>
      <c r="N9" s="109"/>
      <c r="O9" s="75" t="s">
        <v>538</v>
      </c>
      <c r="P9" s="76">
        <v>42.845999999999997</v>
      </c>
      <c r="Q9" s="77"/>
      <c r="R9" s="77"/>
      <c r="S9" s="76">
        <v>3.9E-2</v>
      </c>
      <c r="T9" s="77"/>
      <c r="U9" s="77"/>
      <c r="V9" s="76">
        <v>309.58</v>
      </c>
      <c r="W9" s="77"/>
      <c r="X9" s="77"/>
    </row>
    <row r="10" spans="1:24" x14ac:dyDescent="0.2">
      <c r="A10" s="61"/>
      <c r="B10" s="58" t="s">
        <v>476</v>
      </c>
      <c r="C10" s="62" t="s">
        <v>472</v>
      </c>
      <c r="D10" s="61">
        <v>135.72</v>
      </c>
      <c r="F10" s="68" t="s">
        <v>499</v>
      </c>
      <c r="G10" s="67">
        <v>3.36</v>
      </c>
      <c r="H10" s="67" t="s">
        <v>498</v>
      </c>
      <c r="I10" s="67"/>
      <c r="J10" s="69"/>
      <c r="L10" s="103"/>
      <c r="M10" s="106"/>
      <c r="N10" s="109"/>
      <c r="O10" s="75" t="s">
        <v>539</v>
      </c>
      <c r="P10" s="76">
        <v>11.9</v>
      </c>
      <c r="Q10" s="77"/>
      <c r="R10" s="77"/>
      <c r="S10" s="76">
        <v>2.1999999999999999E-2</v>
      </c>
      <c r="T10" s="77"/>
      <c r="U10" s="77"/>
      <c r="V10" s="76">
        <v>171.97</v>
      </c>
      <c r="W10" s="77"/>
      <c r="X10" s="77"/>
    </row>
    <row r="11" spans="1:24" x14ac:dyDescent="0.2">
      <c r="A11" s="61"/>
      <c r="B11" s="58" t="s">
        <v>477</v>
      </c>
      <c r="C11" s="62" t="s">
        <v>472</v>
      </c>
      <c r="D11" s="61">
        <v>837.18</v>
      </c>
      <c r="F11" s="68" t="s">
        <v>500</v>
      </c>
      <c r="G11" s="67"/>
      <c r="H11" s="67"/>
      <c r="I11" s="67"/>
      <c r="J11" s="69"/>
      <c r="L11" s="103"/>
      <c r="M11" s="106"/>
      <c r="N11" s="109"/>
      <c r="O11" s="75" t="s">
        <v>540</v>
      </c>
      <c r="P11" s="76">
        <v>1.2</v>
      </c>
      <c r="Q11" s="77"/>
      <c r="R11" s="77"/>
      <c r="S11" s="76">
        <v>3.0000000000000001E-3</v>
      </c>
      <c r="T11" s="77"/>
      <c r="U11" s="77"/>
      <c r="V11" s="76">
        <v>25.49</v>
      </c>
      <c r="W11" s="77"/>
      <c r="X11" s="77"/>
    </row>
    <row r="12" spans="1:24" x14ac:dyDescent="0.2">
      <c r="A12" s="61"/>
      <c r="B12" s="58" t="s">
        <v>473</v>
      </c>
      <c r="C12" s="62" t="s">
        <v>472</v>
      </c>
      <c r="D12" s="61">
        <v>3283.93</v>
      </c>
      <c r="F12" s="68" t="s">
        <v>501</v>
      </c>
      <c r="G12" s="67">
        <v>730.8</v>
      </c>
      <c r="H12" s="67" t="s">
        <v>0</v>
      </c>
      <c r="I12" s="67">
        <v>317.5326</v>
      </c>
      <c r="J12" s="69" t="s">
        <v>502</v>
      </c>
      <c r="L12" s="103"/>
      <c r="M12" s="106"/>
      <c r="N12" s="109"/>
      <c r="O12" s="75" t="s">
        <v>541</v>
      </c>
      <c r="P12" s="76">
        <v>2.4</v>
      </c>
      <c r="Q12" s="77"/>
      <c r="R12" s="77"/>
      <c r="S12" s="76">
        <v>3.0000000000000001E-3</v>
      </c>
      <c r="T12" s="77"/>
      <c r="U12" s="77"/>
      <c r="V12" s="76">
        <v>25.49</v>
      </c>
      <c r="W12" s="77"/>
      <c r="X12" s="77"/>
    </row>
    <row r="13" spans="1:24" x14ac:dyDescent="0.2">
      <c r="A13" s="61"/>
      <c r="B13" s="58" t="s">
        <v>478</v>
      </c>
      <c r="C13" s="62" t="s">
        <v>472</v>
      </c>
      <c r="D13" s="61">
        <v>4147.3999999999996</v>
      </c>
      <c r="F13" s="68" t="s">
        <v>503</v>
      </c>
      <c r="G13" s="67">
        <v>194.88</v>
      </c>
      <c r="H13" s="67" t="s">
        <v>0</v>
      </c>
      <c r="I13" s="67">
        <v>33.012672000000002</v>
      </c>
      <c r="J13" s="69" t="s">
        <v>502</v>
      </c>
      <c r="L13" s="103"/>
      <c r="M13" s="106"/>
      <c r="N13" s="109"/>
      <c r="O13" s="75" t="s">
        <v>542</v>
      </c>
      <c r="P13" s="76">
        <v>3.92</v>
      </c>
      <c r="Q13" s="77"/>
      <c r="R13" s="77"/>
      <c r="S13" s="76">
        <v>3.0000000000000001E-3</v>
      </c>
      <c r="T13" s="77"/>
      <c r="U13" s="77"/>
      <c r="V13" s="76">
        <v>21.65</v>
      </c>
      <c r="W13" s="77"/>
      <c r="X13" s="77"/>
    </row>
    <row r="14" spans="1:24" x14ac:dyDescent="0.2">
      <c r="A14" s="61"/>
      <c r="B14" s="58" t="s">
        <v>479</v>
      </c>
      <c r="C14" s="62" t="s">
        <v>472</v>
      </c>
      <c r="D14" s="61">
        <v>590.35</v>
      </c>
      <c r="F14" s="68" t="s">
        <v>504</v>
      </c>
      <c r="G14" s="67"/>
      <c r="H14" s="67"/>
      <c r="I14" s="67"/>
      <c r="J14" s="69"/>
      <c r="L14" s="103"/>
      <c r="M14" s="106"/>
      <c r="N14" s="109"/>
      <c r="O14" s="75" t="s">
        <v>543</v>
      </c>
      <c r="P14" s="76">
        <v>24.736999999999998</v>
      </c>
      <c r="Q14" s="77"/>
      <c r="R14" s="77"/>
      <c r="S14" s="76">
        <v>4.4999999999999998E-2</v>
      </c>
      <c r="T14" s="77"/>
      <c r="U14" s="77"/>
      <c r="V14" s="76">
        <v>355.13</v>
      </c>
      <c r="W14" s="77"/>
      <c r="X14" s="77"/>
    </row>
    <row r="15" spans="1:24" x14ac:dyDescent="0.2">
      <c r="A15" s="61"/>
      <c r="B15" s="58" t="s">
        <v>480</v>
      </c>
      <c r="C15" s="62" t="s">
        <v>472</v>
      </c>
      <c r="D15" s="61">
        <v>730.04</v>
      </c>
      <c r="F15" s="68" t="s">
        <v>505</v>
      </c>
      <c r="G15" s="67">
        <v>382.8</v>
      </c>
      <c r="H15" s="67" t="s">
        <v>0</v>
      </c>
      <c r="I15" s="67">
        <v>259.80636000000004</v>
      </c>
      <c r="J15" s="69" t="s">
        <v>502</v>
      </c>
      <c r="L15" s="103"/>
      <c r="M15" s="106"/>
      <c r="N15" s="109"/>
      <c r="O15" s="75" t="s">
        <v>544</v>
      </c>
      <c r="P15" s="76">
        <v>16.899999999999999</v>
      </c>
      <c r="Q15" s="77"/>
      <c r="R15" s="77"/>
      <c r="S15" s="76">
        <v>7.0000000000000001E-3</v>
      </c>
      <c r="T15" s="77"/>
      <c r="U15" s="77"/>
      <c r="V15" s="76">
        <v>53.75</v>
      </c>
      <c r="W15" s="77"/>
      <c r="X15" s="77"/>
    </row>
    <row r="16" spans="1:24" x14ac:dyDescent="0.2">
      <c r="A16" s="61"/>
      <c r="B16" s="58" t="s">
        <v>474</v>
      </c>
      <c r="C16" s="62" t="s">
        <v>2</v>
      </c>
      <c r="D16" s="61">
        <v>258.81</v>
      </c>
      <c r="F16" s="68" t="s">
        <v>437</v>
      </c>
      <c r="G16" s="67">
        <v>3.62</v>
      </c>
      <c r="H16" s="67" t="s">
        <v>2</v>
      </c>
      <c r="I16" s="67"/>
      <c r="J16" s="69"/>
      <c r="L16" s="103"/>
      <c r="M16" s="106"/>
      <c r="N16" s="109"/>
      <c r="O16" s="75" t="s">
        <v>545</v>
      </c>
      <c r="P16" s="76">
        <v>27.6</v>
      </c>
      <c r="Q16" s="77"/>
      <c r="R16" s="77"/>
      <c r="S16" s="76">
        <v>1.7000000000000001E-2</v>
      </c>
      <c r="T16" s="77"/>
      <c r="U16" s="77"/>
      <c r="V16" s="76">
        <v>133.24</v>
      </c>
      <c r="W16" s="77"/>
      <c r="X16" s="77"/>
    </row>
    <row r="17" spans="1:24" x14ac:dyDescent="0.2">
      <c r="A17" s="63"/>
      <c r="B17" s="64"/>
      <c r="C17" s="65"/>
      <c r="D17" s="66"/>
      <c r="F17" s="68" t="s">
        <v>506</v>
      </c>
      <c r="G17" s="67"/>
      <c r="H17" s="67"/>
      <c r="I17" s="67"/>
      <c r="J17" s="69"/>
      <c r="L17" s="103"/>
      <c r="M17" s="106"/>
      <c r="N17" s="109"/>
      <c r="O17" s="77"/>
      <c r="P17" s="77"/>
      <c r="Q17" s="76">
        <v>160.74799999999999</v>
      </c>
      <c r="R17" s="77"/>
      <c r="S17" s="77"/>
      <c r="T17" s="76">
        <v>0.23300000000000001</v>
      </c>
      <c r="U17" s="77"/>
      <c r="V17" s="77"/>
      <c r="W17" s="76">
        <v>1826.71</v>
      </c>
      <c r="X17" s="77"/>
    </row>
    <row r="18" spans="1:24" x14ac:dyDescent="0.2">
      <c r="A18" s="55">
        <v>2</v>
      </c>
      <c r="B18" s="56" t="s">
        <v>481</v>
      </c>
      <c r="C18" s="56"/>
      <c r="D18" s="55"/>
      <c r="F18" s="68" t="s">
        <v>507</v>
      </c>
      <c r="G18" s="67">
        <v>116</v>
      </c>
      <c r="H18" s="67" t="s">
        <v>0</v>
      </c>
      <c r="I18" s="67">
        <v>78.729200000000006</v>
      </c>
      <c r="J18" s="69" t="s">
        <v>502</v>
      </c>
      <c r="L18" s="103"/>
      <c r="M18" s="106"/>
      <c r="N18" s="109" t="s">
        <v>546</v>
      </c>
      <c r="O18" s="75" t="s">
        <v>547</v>
      </c>
      <c r="P18" s="76">
        <v>1.2</v>
      </c>
      <c r="Q18" s="77"/>
      <c r="R18" s="77"/>
      <c r="S18" s="76">
        <v>5.0000000000000001E-3</v>
      </c>
      <c r="T18" s="77"/>
      <c r="U18" s="77"/>
      <c r="V18" s="76">
        <v>42.9</v>
      </c>
      <c r="W18" s="77"/>
      <c r="X18" s="77"/>
    </row>
    <row r="19" spans="1:24" x14ac:dyDescent="0.2">
      <c r="A19" s="61"/>
      <c r="B19" s="58" t="s">
        <v>471</v>
      </c>
      <c r="C19" s="62" t="s">
        <v>472</v>
      </c>
      <c r="D19" s="61">
        <v>968</v>
      </c>
      <c r="F19" s="68" t="s">
        <v>508</v>
      </c>
      <c r="G19" s="67">
        <v>2.2200000000000002</v>
      </c>
      <c r="H19" s="67" t="s">
        <v>2</v>
      </c>
      <c r="I19" s="67"/>
      <c r="J19" s="69"/>
      <c r="L19" s="103"/>
      <c r="M19" s="106"/>
      <c r="N19" s="109"/>
      <c r="O19" s="75" t="s">
        <v>548</v>
      </c>
      <c r="P19" s="76">
        <v>42</v>
      </c>
      <c r="Q19" s="77"/>
      <c r="R19" s="77"/>
      <c r="S19" s="76">
        <v>9.6000000000000002E-2</v>
      </c>
      <c r="T19" s="77"/>
      <c r="U19" s="77"/>
      <c r="V19" s="76">
        <v>750.81</v>
      </c>
      <c r="W19" s="77"/>
      <c r="X19" s="77"/>
    </row>
    <row r="20" spans="1:24" x14ac:dyDescent="0.2">
      <c r="A20" s="61"/>
      <c r="B20" s="58" t="s">
        <v>482</v>
      </c>
      <c r="C20" s="62" t="s">
        <v>472</v>
      </c>
      <c r="D20" s="61">
        <v>5</v>
      </c>
      <c r="F20" s="68" t="s">
        <v>509</v>
      </c>
      <c r="G20" s="67"/>
      <c r="H20" s="67"/>
      <c r="I20" s="67"/>
      <c r="J20" s="69"/>
      <c r="L20" s="103"/>
      <c r="M20" s="106"/>
      <c r="N20" s="109"/>
      <c r="O20" s="77"/>
      <c r="P20" s="77"/>
      <c r="Q20" s="76">
        <v>43.2</v>
      </c>
      <c r="R20" s="77"/>
      <c r="S20" s="77"/>
      <c r="T20" s="76">
        <v>0.10100000000000001</v>
      </c>
      <c r="U20" s="77"/>
      <c r="V20" s="77"/>
      <c r="W20" s="76">
        <v>793.71</v>
      </c>
      <c r="X20" s="77"/>
    </row>
    <row r="21" spans="1:24" ht="13.5" thickBot="1" x14ac:dyDescent="0.25">
      <c r="A21" s="61"/>
      <c r="B21" s="58" t="s">
        <v>473</v>
      </c>
      <c r="C21" s="62" t="s">
        <v>472</v>
      </c>
      <c r="D21" s="61">
        <v>2809</v>
      </c>
      <c r="F21" s="68" t="s">
        <v>510</v>
      </c>
      <c r="G21" s="67">
        <v>464</v>
      </c>
      <c r="H21" s="67" t="s">
        <v>0</v>
      </c>
      <c r="I21" s="67">
        <v>314.91680000000002</v>
      </c>
      <c r="J21" s="69" t="s">
        <v>502</v>
      </c>
      <c r="L21" s="104"/>
      <c r="M21" s="107"/>
      <c r="N21" s="78"/>
      <c r="O21" s="78"/>
      <c r="P21" s="78"/>
      <c r="Q21" s="78"/>
      <c r="R21" s="79">
        <v>203.94800000000001</v>
      </c>
      <c r="S21" s="78"/>
      <c r="T21" s="78"/>
      <c r="U21" s="79">
        <v>0.33400000000000002</v>
      </c>
      <c r="V21" s="78"/>
      <c r="W21" s="78"/>
      <c r="X21" s="79">
        <v>2620.42</v>
      </c>
    </row>
    <row r="22" spans="1:24" x14ac:dyDescent="0.2">
      <c r="A22" s="61"/>
      <c r="B22" s="58" t="s">
        <v>478</v>
      </c>
      <c r="C22" s="62" t="s">
        <v>472</v>
      </c>
      <c r="D22" s="61">
        <v>1745</v>
      </c>
      <c r="F22" s="68" t="s">
        <v>437</v>
      </c>
      <c r="G22" s="67">
        <v>10.45</v>
      </c>
      <c r="H22" s="67" t="s">
        <v>2</v>
      </c>
      <c r="I22" s="67"/>
      <c r="J22" s="69"/>
    </row>
    <row r="23" spans="1:24" x14ac:dyDescent="0.2">
      <c r="A23" s="61"/>
      <c r="B23" s="58" t="s">
        <v>479</v>
      </c>
      <c r="C23" s="62" t="s">
        <v>472</v>
      </c>
      <c r="D23" s="61">
        <v>933</v>
      </c>
      <c r="F23" s="68" t="s">
        <v>511</v>
      </c>
      <c r="G23" s="67"/>
      <c r="H23" s="67"/>
      <c r="I23" s="67"/>
      <c r="J23" s="69"/>
    </row>
    <row r="24" spans="1:24" x14ac:dyDescent="0.2">
      <c r="A24" s="61"/>
      <c r="B24" s="58" t="s">
        <v>479</v>
      </c>
      <c r="C24" s="62" t="s">
        <v>472</v>
      </c>
      <c r="D24" s="61">
        <v>92</v>
      </c>
      <c r="F24" s="68" t="s">
        <v>512</v>
      </c>
      <c r="G24" s="67">
        <v>2886</v>
      </c>
      <c r="H24" s="67" t="s">
        <v>488</v>
      </c>
      <c r="I24" s="67"/>
      <c r="J24" s="69"/>
    </row>
    <row r="25" spans="1:24" x14ac:dyDescent="0.2">
      <c r="A25" s="61"/>
      <c r="B25" s="58" t="s">
        <v>483</v>
      </c>
      <c r="C25" s="62" t="s">
        <v>2</v>
      </c>
      <c r="D25" s="61">
        <v>30.05</v>
      </c>
      <c r="F25" s="68" t="s">
        <v>513</v>
      </c>
      <c r="G25" s="67">
        <v>73</v>
      </c>
      <c r="H25" s="67" t="s">
        <v>488</v>
      </c>
      <c r="I25" s="67"/>
      <c r="J25" s="69"/>
    </row>
    <row r="26" spans="1:24" x14ac:dyDescent="0.2">
      <c r="A26" s="61"/>
      <c r="B26" s="58" t="s">
        <v>484</v>
      </c>
      <c r="C26" s="62" t="s">
        <v>30</v>
      </c>
      <c r="D26" s="61">
        <v>490.65</v>
      </c>
      <c r="F26" s="68" t="s">
        <v>514</v>
      </c>
      <c r="G26" s="67"/>
      <c r="H26" s="67"/>
      <c r="I26" s="67"/>
      <c r="J26" s="69"/>
    </row>
    <row r="27" spans="1:24" x14ac:dyDescent="0.2">
      <c r="A27" s="63"/>
      <c r="B27" s="64"/>
      <c r="C27" s="65"/>
      <c r="D27" s="66"/>
      <c r="F27" s="68" t="s">
        <v>512</v>
      </c>
      <c r="G27" s="67">
        <v>296</v>
      </c>
      <c r="H27" s="67" t="s">
        <v>488</v>
      </c>
      <c r="I27" s="67"/>
      <c r="J27" s="69"/>
    </row>
    <row r="28" spans="1:24" x14ac:dyDescent="0.2">
      <c r="A28" s="55">
        <v>3</v>
      </c>
      <c r="B28" s="56" t="s">
        <v>485</v>
      </c>
      <c r="C28" s="56"/>
      <c r="D28" s="55"/>
      <c r="F28" s="68" t="s">
        <v>1</v>
      </c>
      <c r="G28" s="67">
        <v>3.9</v>
      </c>
      <c r="H28" s="67" t="s">
        <v>2</v>
      </c>
      <c r="I28" s="67"/>
      <c r="J28" s="69"/>
    </row>
    <row r="29" spans="1:24" ht="13.5" thickBot="1" x14ac:dyDescent="0.25">
      <c r="A29" s="61"/>
      <c r="B29" s="58" t="s">
        <v>486</v>
      </c>
      <c r="C29" s="62" t="s">
        <v>472</v>
      </c>
      <c r="D29" s="61">
        <v>1053</v>
      </c>
      <c r="F29" s="70" t="s">
        <v>515</v>
      </c>
      <c r="G29" s="71">
        <v>603.20000000000005</v>
      </c>
      <c r="H29" s="71" t="s">
        <v>30</v>
      </c>
      <c r="I29" s="71"/>
      <c r="J29" s="72"/>
    </row>
    <row r="30" spans="1:24" x14ac:dyDescent="0.2">
      <c r="A30" s="61"/>
      <c r="B30" s="58" t="s">
        <v>471</v>
      </c>
      <c r="C30" s="62" t="s">
        <v>472</v>
      </c>
      <c r="D30" s="61">
        <v>375.7</v>
      </c>
    </row>
    <row r="31" spans="1:24" x14ac:dyDescent="0.2">
      <c r="A31" s="61"/>
      <c r="B31" s="58" t="s">
        <v>476</v>
      </c>
      <c r="C31" s="62" t="s">
        <v>472</v>
      </c>
      <c r="D31" s="61">
        <v>838.3</v>
      </c>
    </row>
    <row r="32" spans="1:24" x14ac:dyDescent="0.2">
      <c r="A32" s="61"/>
      <c r="B32" s="58" t="s">
        <v>477</v>
      </c>
      <c r="C32" s="62" t="s">
        <v>472</v>
      </c>
      <c r="D32" s="61">
        <v>717.3</v>
      </c>
    </row>
    <row r="33" spans="1:4" x14ac:dyDescent="0.2">
      <c r="A33" s="61"/>
      <c r="B33" s="58" t="s">
        <v>473</v>
      </c>
      <c r="C33" s="62" t="s">
        <v>472</v>
      </c>
      <c r="D33" s="61">
        <v>1676.6</v>
      </c>
    </row>
    <row r="34" spans="1:4" x14ac:dyDescent="0.2">
      <c r="A34" s="61"/>
      <c r="B34" s="58" t="s">
        <v>478</v>
      </c>
      <c r="C34" s="62" t="s">
        <v>472</v>
      </c>
      <c r="D34" s="61">
        <v>980.4</v>
      </c>
    </row>
    <row r="35" spans="1:4" x14ac:dyDescent="0.2">
      <c r="A35" s="61"/>
      <c r="B35" s="58" t="s">
        <v>479</v>
      </c>
      <c r="C35" s="62" t="s">
        <v>472</v>
      </c>
      <c r="D35" s="61">
        <v>128.4</v>
      </c>
    </row>
    <row r="36" spans="1:4" x14ac:dyDescent="0.2">
      <c r="A36" s="61"/>
      <c r="B36" s="58" t="s">
        <v>483</v>
      </c>
      <c r="C36" s="62" t="s">
        <v>2</v>
      </c>
      <c r="D36" s="61">
        <v>61.9</v>
      </c>
    </row>
    <row r="37" spans="1:4" x14ac:dyDescent="0.2">
      <c r="A37" s="61"/>
      <c r="B37" s="58" t="s">
        <v>484</v>
      </c>
      <c r="C37" s="62" t="s">
        <v>30</v>
      </c>
      <c r="D37" s="61">
        <v>548.52</v>
      </c>
    </row>
    <row r="39" spans="1:4" x14ac:dyDescent="0.2">
      <c r="A39" s="55">
        <v>4</v>
      </c>
      <c r="B39" s="56" t="s">
        <v>518</v>
      </c>
      <c r="C39" s="56"/>
      <c r="D39" s="55"/>
    </row>
    <row r="40" spans="1:4" x14ac:dyDescent="0.2">
      <c r="A40" s="61"/>
      <c r="B40" s="58" t="s">
        <v>517</v>
      </c>
      <c r="C40" s="62" t="s">
        <v>472</v>
      </c>
      <c r="D40" s="61">
        <v>470.99</v>
      </c>
    </row>
    <row r="41" spans="1:4" x14ac:dyDescent="0.2">
      <c r="A41" s="61"/>
      <c r="B41" s="58" t="s">
        <v>471</v>
      </c>
      <c r="C41" s="62" t="s">
        <v>472</v>
      </c>
      <c r="D41" s="61">
        <v>325.52</v>
      </c>
    </row>
    <row r="42" spans="1:4" x14ac:dyDescent="0.2">
      <c r="A42" s="61"/>
      <c r="B42" s="58" t="s">
        <v>476</v>
      </c>
      <c r="C42" s="62" t="s">
        <v>472</v>
      </c>
      <c r="D42" s="61">
        <v>3361.82</v>
      </c>
    </row>
    <row r="43" spans="1:4" x14ac:dyDescent="0.2">
      <c r="A43" s="61"/>
      <c r="B43" s="58" t="s">
        <v>477</v>
      </c>
      <c r="C43" s="62" t="s">
        <v>472</v>
      </c>
      <c r="D43" s="61">
        <v>941.3</v>
      </c>
    </row>
    <row r="44" spans="1:4" x14ac:dyDescent="0.2">
      <c r="A44" s="61"/>
      <c r="B44" s="58" t="s">
        <v>483</v>
      </c>
      <c r="C44" s="62" t="s">
        <v>2</v>
      </c>
      <c r="D44" s="61">
        <v>109.93</v>
      </c>
    </row>
    <row r="46" spans="1:4" x14ac:dyDescent="0.2">
      <c r="A46" s="120" t="s">
        <v>808</v>
      </c>
      <c r="B46" s="120"/>
      <c r="C46" s="120"/>
      <c r="D46" s="120"/>
    </row>
    <row r="47" spans="1:4" x14ac:dyDescent="0.2">
      <c r="A47" s="55"/>
      <c r="B47" s="56" t="s">
        <v>485</v>
      </c>
      <c r="C47" s="56"/>
      <c r="D47" s="55"/>
    </row>
    <row r="48" spans="1:4" x14ac:dyDescent="0.2">
      <c r="A48" s="61"/>
      <c r="B48" s="58" t="s">
        <v>486</v>
      </c>
      <c r="C48" s="62" t="s">
        <v>472</v>
      </c>
      <c r="D48" s="61">
        <v>11</v>
      </c>
    </row>
    <row r="49" spans="1:4" x14ac:dyDescent="0.2">
      <c r="A49" s="61"/>
      <c r="B49" s="58" t="s">
        <v>471</v>
      </c>
      <c r="C49" s="62" t="s">
        <v>472</v>
      </c>
      <c r="D49" s="61">
        <v>12</v>
      </c>
    </row>
    <row r="50" spans="1:4" x14ac:dyDescent="0.2">
      <c r="A50" s="61"/>
      <c r="B50" s="58" t="s">
        <v>483</v>
      </c>
      <c r="C50" s="62" t="s">
        <v>2</v>
      </c>
      <c r="D50" s="61">
        <v>0.49</v>
      </c>
    </row>
    <row r="51" spans="1:4" x14ac:dyDescent="0.2">
      <c r="A51" s="55"/>
      <c r="B51" s="56" t="s">
        <v>481</v>
      </c>
      <c r="C51" s="56"/>
      <c r="D51" s="55"/>
    </row>
    <row r="52" spans="1:4" x14ac:dyDescent="0.2">
      <c r="A52" s="61"/>
      <c r="B52" s="58" t="s">
        <v>471</v>
      </c>
      <c r="C52" s="62" t="s">
        <v>472</v>
      </c>
      <c r="D52" s="61">
        <v>17</v>
      </c>
    </row>
    <row r="53" spans="1:4" x14ac:dyDescent="0.2">
      <c r="A53" s="61"/>
      <c r="B53" s="58" t="s">
        <v>473</v>
      </c>
      <c r="C53" s="62" t="s">
        <v>472</v>
      </c>
      <c r="D53" s="61">
        <v>45</v>
      </c>
    </row>
    <row r="54" spans="1:4" x14ac:dyDescent="0.2">
      <c r="A54" s="61"/>
      <c r="B54" s="58" t="s">
        <v>483</v>
      </c>
      <c r="C54" s="62" t="s">
        <v>2</v>
      </c>
      <c r="D54" s="61">
        <v>0.36</v>
      </c>
    </row>
    <row r="55" spans="1:4" x14ac:dyDescent="0.2">
      <c r="A55" s="55"/>
      <c r="B55" s="56" t="s">
        <v>806</v>
      </c>
      <c r="C55" s="56"/>
      <c r="D55" s="55"/>
    </row>
    <row r="56" spans="1:4" x14ac:dyDescent="0.2">
      <c r="A56" s="61"/>
      <c r="B56" s="58" t="s">
        <v>486</v>
      </c>
      <c r="C56" s="62" t="s">
        <v>472</v>
      </c>
      <c r="D56" s="61">
        <v>20</v>
      </c>
    </row>
    <row r="57" spans="1:4" x14ac:dyDescent="0.2">
      <c r="A57" s="61"/>
      <c r="B57" s="58" t="s">
        <v>483</v>
      </c>
      <c r="C57" s="62" t="s">
        <v>2</v>
      </c>
      <c r="D57" s="61">
        <v>0.4</v>
      </c>
    </row>
    <row r="58" spans="1:4" x14ac:dyDescent="0.2">
      <c r="A58" s="55"/>
      <c r="B58" s="56" t="s">
        <v>807</v>
      </c>
      <c r="C58" s="56"/>
      <c r="D58" s="55"/>
    </row>
    <row r="59" spans="1:4" x14ac:dyDescent="0.2">
      <c r="A59" s="61"/>
      <c r="B59" s="58" t="s">
        <v>471</v>
      </c>
      <c r="C59" s="62" t="s">
        <v>472</v>
      </c>
      <c r="D59" s="61">
        <v>2</v>
      </c>
    </row>
    <row r="60" spans="1:4" x14ac:dyDescent="0.2">
      <c r="A60" s="61"/>
      <c r="B60" s="58" t="s">
        <v>476</v>
      </c>
      <c r="C60" s="62" t="s">
        <v>472</v>
      </c>
      <c r="D60" s="61">
        <v>8</v>
      </c>
    </row>
    <row r="61" spans="1:4" x14ac:dyDescent="0.2">
      <c r="A61" s="61"/>
      <c r="B61" s="58" t="s">
        <v>473</v>
      </c>
      <c r="C61" s="62" t="s">
        <v>472</v>
      </c>
      <c r="D61" s="61">
        <v>44</v>
      </c>
    </row>
    <row r="62" spans="1:4" x14ac:dyDescent="0.2">
      <c r="A62" s="61"/>
      <c r="B62" s="58" t="s">
        <v>478</v>
      </c>
      <c r="C62" s="62" t="s">
        <v>472</v>
      </c>
      <c r="D62" s="61">
        <v>31</v>
      </c>
    </row>
    <row r="63" spans="1:4" x14ac:dyDescent="0.2">
      <c r="A63" s="61"/>
      <c r="B63" s="58" t="s">
        <v>474</v>
      </c>
      <c r="C63" s="62" t="s">
        <v>2</v>
      </c>
      <c r="D63" s="61">
        <v>1.4</v>
      </c>
    </row>
  </sheetData>
  <mergeCells count="19">
    <mergeCell ref="A46:D46"/>
    <mergeCell ref="L5:L7"/>
    <mergeCell ref="M5:M7"/>
    <mergeCell ref="N5:N6"/>
    <mergeCell ref="L8:L21"/>
    <mergeCell ref="M8:M21"/>
    <mergeCell ref="N8:N17"/>
    <mergeCell ref="N18:N20"/>
    <mergeCell ref="A1:D1"/>
    <mergeCell ref="F1:J1"/>
    <mergeCell ref="L1:X1"/>
    <mergeCell ref="L2:M2"/>
    <mergeCell ref="N2:N4"/>
    <mergeCell ref="O2:O4"/>
    <mergeCell ref="P2:R2"/>
    <mergeCell ref="S2:U2"/>
    <mergeCell ref="V2:X2"/>
    <mergeCell ref="L3:L4"/>
    <mergeCell ref="M3:M4"/>
  </mergeCell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85B3-51D6-4E6F-A3CE-D9A916923B3C}">
  <dimension ref="A1:D137"/>
  <sheetViews>
    <sheetView workbookViewId="0">
      <selection activeCell="F7" sqref="F7"/>
    </sheetView>
  </sheetViews>
  <sheetFormatPr defaultRowHeight="12.75" x14ac:dyDescent="0.2"/>
  <cols>
    <col min="2" max="2" width="66.42578125" customWidth="1"/>
  </cols>
  <sheetData>
    <row r="1" spans="1:4" ht="15" x14ac:dyDescent="0.2">
      <c r="A1" s="110" t="s">
        <v>466</v>
      </c>
      <c r="B1" s="111"/>
      <c r="C1" s="111"/>
      <c r="D1" s="112"/>
    </row>
    <row r="2" spans="1:4" x14ac:dyDescent="0.2">
      <c r="A2" s="80" t="s">
        <v>467</v>
      </c>
      <c r="B2" s="80" t="s">
        <v>550</v>
      </c>
      <c r="C2" s="80"/>
      <c r="D2" s="81"/>
    </row>
    <row r="3" spans="1:4" ht="25.5" x14ac:dyDescent="0.2">
      <c r="A3" s="82" t="s">
        <v>469</v>
      </c>
      <c r="B3" s="82" t="s">
        <v>551</v>
      </c>
      <c r="C3" s="84" t="s">
        <v>4</v>
      </c>
      <c r="D3" s="83">
        <v>1</v>
      </c>
    </row>
    <row r="4" spans="1:4" ht="25.5" x14ac:dyDescent="0.2">
      <c r="A4" s="82" t="s">
        <v>552</v>
      </c>
      <c r="B4" s="82" t="s">
        <v>553</v>
      </c>
      <c r="C4" s="84" t="s">
        <v>4</v>
      </c>
      <c r="D4" s="83">
        <v>2</v>
      </c>
    </row>
    <row r="5" spans="1:4" ht="25.5" x14ac:dyDescent="0.2">
      <c r="A5" s="82" t="s">
        <v>554</v>
      </c>
      <c r="B5" s="82" t="s">
        <v>555</v>
      </c>
      <c r="C5" s="84" t="s">
        <v>4</v>
      </c>
      <c r="D5" s="83">
        <v>1</v>
      </c>
    </row>
    <row r="6" spans="1:4" ht="25.5" x14ac:dyDescent="0.2">
      <c r="A6" s="82" t="s">
        <v>556</v>
      </c>
      <c r="B6" s="82" t="s">
        <v>557</v>
      </c>
      <c r="C6" s="84" t="s">
        <v>4</v>
      </c>
      <c r="D6" s="83">
        <v>1</v>
      </c>
    </row>
    <row r="7" spans="1:4" ht="38.25" x14ac:dyDescent="0.2">
      <c r="A7" s="82" t="s">
        <v>558</v>
      </c>
      <c r="B7" s="82" t="s">
        <v>559</v>
      </c>
      <c r="C7" s="84" t="s">
        <v>4</v>
      </c>
      <c r="D7" s="83">
        <v>4</v>
      </c>
    </row>
    <row r="8" spans="1:4" ht="51" x14ac:dyDescent="0.2">
      <c r="A8" s="82" t="s">
        <v>560</v>
      </c>
      <c r="B8" s="82" t="s">
        <v>561</v>
      </c>
      <c r="C8" s="84" t="s">
        <v>4</v>
      </c>
      <c r="D8" s="83">
        <v>1</v>
      </c>
    </row>
    <row r="9" spans="1:4" ht="38.25" x14ac:dyDescent="0.2">
      <c r="A9" s="82" t="s">
        <v>562</v>
      </c>
      <c r="B9" s="82" t="s">
        <v>563</v>
      </c>
      <c r="C9" s="84" t="s">
        <v>4</v>
      </c>
      <c r="D9" s="83">
        <v>5</v>
      </c>
    </row>
    <row r="10" spans="1:4" ht="38.25" x14ac:dyDescent="0.2">
      <c r="A10" s="82" t="s">
        <v>564</v>
      </c>
      <c r="B10" s="82" t="s">
        <v>565</v>
      </c>
      <c r="C10" s="84" t="s">
        <v>4</v>
      </c>
      <c r="D10" s="83">
        <v>10</v>
      </c>
    </row>
    <row r="11" spans="1:4" ht="38.25" x14ac:dyDescent="0.2">
      <c r="A11" s="82" t="s">
        <v>566</v>
      </c>
      <c r="B11" s="82" t="s">
        <v>567</v>
      </c>
      <c r="C11" s="84" t="s">
        <v>4</v>
      </c>
      <c r="D11" s="83">
        <v>4</v>
      </c>
    </row>
    <row r="12" spans="1:4" ht="38.25" x14ac:dyDescent="0.2">
      <c r="A12" s="82" t="s">
        <v>568</v>
      </c>
      <c r="B12" s="82" t="s">
        <v>569</v>
      </c>
      <c r="C12" s="84" t="s">
        <v>4</v>
      </c>
      <c r="D12" s="83">
        <v>1</v>
      </c>
    </row>
    <row r="13" spans="1:4" ht="25.5" x14ac:dyDescent="0.2">
      <c r="A13" s="82" t="s">
        <v>570</v>
      </c>
      <c r="B13" s="82" t="s">
        <v>571</v>
      </c>
      <c r="C13" s="84" t="s">
        <v>4</v>
      </c>
      <c r="D13" s="83">
        <v>2</v>
      </c>
    </row>
    <row r="14" spans="1:4" ht="25.5" x14ac:dyDescent="0.2">
      <c r="A14" s="82" t="s">
        <v>572</v>
      </c>
      <c r="B14" s="82" t="s">
        <v>573</v>
      </c>
      <c r="C14" s="84" t="s">
        <v>4</v>
      </c>
      <c r="D14" s="83">
        <v>1</v>
      </c>
    </row>
    <row r="15" spans="1:4" ht="25.5" x14ac:dyDescent="0.2">
      <c r="A15" s="82" t="s">
        <v>574</v>
      </c>
      <c r="B15" s="82" t="s">
        <v>575</v>
      </c>
      <c r="C15" s="84" t="s">
        <v>20</v>
      </c>
      <c r="D15" s="83">
        <v>70.099999999999994</v>
      </c>
    </row>
    <row r="16" spans="1:4" ht="25.5" x14ac:dyDescent="0.2">
      <c r="A16" s="82" t="s">
        <v>576</v>
      </c>
      <c r="B16" s="82" t="s">
        <v>577</v>
      </c>
      <c r="C16" s="84" t="s">
        <v>10</v>
      </c>
      <c r="D16" s="83">
        <v>1</v>
      </c>
    </row>
    <row r="17" spans="1:4" ht="25.5" x14ac:dyDescent="0.2">
      <c r="A17" s="82" t="s">
        <v>578</v>
      </c>
      <c r="B17" s="82" t="s">
        <v>579</v>
      </c>
      <c r="C17" s="84" t="s">
        <v>4</v>
      </c>
      <c r="D17" s="83">
        <v>1</v>
      </c>
    </row>
    <row r="18" spans="1:4" x14ac:dyDescent="0.2">
      <c r="A18" s="80" t="s">
        <v>580</v>
      </c>
      <c r="B18" s="80" t="s">
        <v>581</v>
      </c>
      <c r="C18" s="80"/>
      <c r="D18" s="81"/>
    </row>
    <row r="19" spans="1:4" ht="38.25" x14ac:dyDescent="0.2">
      <c r="A19" s="82" t="s">
        <v>582</v>
      </c>
      <c r="B19" s="82" t="s">
        <v>583</v>
      </c>
      <c r="C19" s="84" t="s">
        <v>4</v>
      </c>
      <c r="D19" s="83">
        <v>24</v>
      </c>
    </row>
    <row r="20" spans="1:4" ht="25.5" x14ac:dyDescent="0.2">
      <c r="A20" s="82" t="s">
        <v>584</v>
      </c>
      <c r="B20" s="82" t="s">
        <v>553</v>
      </c>
      <c r="C20" s="84" t="s">
        <v>4</v>
      </c>
      <c r="D20" s="83">
        <v>1</v>
      </c>
    </row>
    <row r="21" spans="1:4" ht="25.5" x14ac:dyDescent="0.2">
      <c r="A21" s="82" t="s">
        <v>585</v>
      </c>
      <c r="B21" s="82" t="s">
        <v>586</v>
      </c>
      <c r="C21" s="84" t="s">
        <v>4</v>
      </c>
      <c r="D21" s="83">
        <v>1</v>
      </c>
    </row>
    <row r="22" spans="1:4" ht="25.5" x14ac:dyDescent="0.2">
      <c r="A22" s="82" t="s">
        <v>587</v>
      </c>
      <c r="B22" s="82" t="s">
        <v>588</v>
      </c>
      <c r="C22" s="84" t="s">
        <v>4</v>
      </c>
      <c r="D22" s="83">
        <v>25</v>
      </c>
    </row>
    <row r="23" spans="1:4" ht="25.5" x14ac:dyDescent="0.2">
      <c r="A23" s="82" t="s">
        <v>589</v>
      </c>
      <c r="B23" s="82" t="s">
        <v>590</v>
      </c>
      <c r="C23" s="84" t="s">
        <v>4</v>
      </c>
      <c r="D23" s="83">
        <v>25</v>
      </c>
    </row>
    <row r="24" spans="1:4" ht="38.25" x14ac:dyDescent="0.2">
      <c r="A24" s="82" t="s">
        <v>591</v>
      </c>
      <c r="B24" s="82" t="s">
        <v>563</v>
      </c>
      <c r="C24" s="84" t="s">
        <v>4</v>
      </c>
      <c r="D24" s="83">
        <v>48</v>
      </c>
    </row>
    <row r="25" spans="1:4" ht="38.25" x14ac:dyDescent="0.2">
      <c r="A25" s="82" t="s">
        <v>592</v>
      </c>
      <c r="B25" s="82" t="s">
        <v>593</v>
      </c>
      <c r="C25" s="84" t="s">
        <v>4</v>
      </c>
      <c r="D25" s="83">
        <v>18</v>
      </c>
    </row>
    <row r="26" spans="1:4" ht="38.25" x14ac:dyDescent="0.2">
      <c r="A26" s="82" t="s">
        <v>594</v>
      </c>
      <c r="B26" s="82" t="s">
        <v>595</v>
      </c>
      <c r="C26" s="84" t="s">
        <v>4</v>
      </c>
      <c r="D26" s="83">
        <v>59</v>
      </c>
    </row>
    <row r="27" spans="1:4" ht="38.25" x14ac:dyDescent="0.2">
      <c r="A27" s="82" t="s">
        <v>596</v>
      </c>
      <c r="B27" s="82" t="s">
        <v>597</v>
      </c>
      <c r="C27" s="84" t="s">
        <v>4</v>
      </c>
      <c r="D27" s="83">
        <v>12</v>
      </c>
    </row>
    <row r="28" spans="1:4" ht="38.25" x14ac:dyDescent="0.2">
      <c r="A28" s="82" t="s">
        <v>598</v>
      </c>
      <c r="B28" s="82" t="s">
        <v>599</v>
      </c>
      <c r="C28" s="84" t="s">
        <v>4</v>
      </c>
      <c r="D28" s="83">
        <v>2</v>
      </c>
    </row>
    <row r="29" spans="1:4" ht="38.25" x14ac:dyDescent="0.2">
      <c r="A29" s="82" t="s">
        <v>600</v>
      </c>
      <c r="B29" s="82" t="s">
        <v>601</v>
      </c>
      <c r="C29" s="84" t="s">
        <v>4</v>
      </c>
      <c r="D29" s="83">
        <v>1</v>
      </c>
    </row>
    <row r="30" spans="1:4" ht="38.25" x14ac:dyDescent="0.2">
      <c r="A30" s="82" t="s">
        <v>602</v>
      </c>
      <c r="B30" s="82" t="s">
        <v>603</v>
      </c>
      <c r="C30" s="84" t="s">
        <v>4</v>
      </c>
      <c r="D30" s="83">
        <v>7</v>
      </c>
    </row>
    <row r="31" spans="1:4" ht="25.5" x14ac:dyDescent="0.2">
      <c r="A31" s="82" t="s">
        <v>604</v>
      </c>
      <c r="B31" s="82" t="s">
        <v>605</v>
      </c>
      <c r="C31" s="84" t="s">
        <v>4</v>
      </c>
      <c r="D31" s="83">
        <v>18</v>
      </c>
    </row>
    <row r="32" spans="1:4" ht="25.5" x14ac:dyDescent="0.2">
      <c r="A32" s="82" t="s">
        <v>606</v>
      </c>
      <c r="B32" s="82" t="s">
        <v>607</v>
      </c>
      <c r="C32" s="84" t="s">
        <v>20</v>
      </c>
      <c r="D32" s="83">
        <v>130.5</v>
      </c>
    </row>
    <row r="33" spans="1:4" ht="25.5" x14ac:dyDescent="0.2">
      <c r="A33" s="82" t="s">
        <v>608</v>
      </c>
      <c r="B33" s="82" t="s">
        <v>609</v>
      </c>
      <c r="C33" s="84" t="s">
        <v>20</v>
      </c>
      <c r="D33" s="83">
        <v>102.1</v>
      </c>
    </row>
    <row r="34" spans="1:4" ht="25.5" x14ac:dyDescent="0.2">
      <c r="A34" s="82" t="s">
        <v>610</v>
      </c>
      <c r="B34" s="82" t="s">
        <v>611</v>
      </c>
      <c r="C34" s="84" t="s">
        <v>4</v>
      </c>
      <c r="D34" s="83">
        <v>16</v>
      </c>
    </row>
    <row r="35" spans="1:4" ht="25.5" x14ac:dyDescent="0.2">
      <c r="A35" s="82" t="s">
        <v>612</v>
      </c>
      <c r="B35" s="82" t="s">
        <v>613</v>
      </c>
      <c r="C35" s="84" t="s">
        <v>4</v>
      </c>
      <c r="D35" s="83">
        <v>16</v>
      </c>
    </row>
    <row r="36" spans="1:4" ht="38.25" x14ac:dyDescent="0.2">
      <c r="A36" s="82" t="s">
        <v>614</v>
      </c>
      <c r="B36" s="82" t="s">
        <v>615</v>
      </c>
      <c r="C36" s="84" t="s">
        <v>4</v>
      </c>
      <c r="D36" s="83">
        <v>6</v>
      </c>
    </row>
    <row r="37" spans="1:4" ht="38.25" x14ac:dyDescent="0.2">
      <c r="A37" s="82" t="s">
        <v>616</v>
      </c>
      <c r="B37" s="82" t="s">
        <v>617</v>
      </c>
      <c r="C37" s="84" t="s">
        <v>4</v>
      </c>
      <c r="D37" s="83">
        <v>2</v>
      </c>
    </row>
    <row r="38" spans="1:4" ht="38.25" x14ac:dyDescent="0.2">
      <c r="A38" s="82" t="s">
        <v>618</v>
      </c>
      <c r="B38" s="82" t="s">
        <v>619</v>
      </c>
      <c r="C38" s="84" t="s">
        <v>4</v>
      </c>
      <c r="D38" s="83">
        <v>37</v>
      </c>
    </row>
    <row r="39" spans="1:4" ht="38.25" x14ac:dyDescent="0.2">
      <c r="A39" s="82" t="s">
        <v>620</v>
      </c>
      <c r="B39" s="82" t="s">
        <v>621</v>
      </c>
      <c r="C39" s="84" t="s">
        <v>4</v>
      </c>
      <c r="D39" s="83">
        <v>13</v>
      </c>
    </row>
    <row r="40" spans="1:4" ht="38.25" x14ac:dyDescent="0.2">
      <c r="A40" s="82" t="s">
        <v>622</v>
      </c>
      <c r="B40" s="82" t="s">
        <v>623</v>
      </c>
      <c r="C40" s="84" t="s">
        <v>4</v>
      </c>
      <c r="D40" s="83">
        <v>2</v>
      </c>
    </row>
    <row r="41" spans="1:4" ht="25.5" x14ac:dyDescent="0.2">
      <c r="A41" s="82" t="s">
        <v>624</v>
      </c>
      <c r="B41" s="82" t="s">
        <v>625</v>
      </c>
      <c r="C41" s="84" t="s">
        <v>4</v>
      </c>
      <c r="D41" s="83">
        <v>1</v>
      </c>
    </row>
    <row r="42" spans="1:4" ht="38.25" x14ac:dyDescent="0.2">
      <c r="A42" s="82" t="s">
        <v>626</v>
      </c>
      <c r="B42" s="82" t="s">
        <v>627</v>
      </c>
      <c r="C42" s="84" t="s">
        <v>4</v>
      </c>
      <c r="D42" s="83">
        <v>4</v>
      </c>
    </row>
    <row r="43" spans="1:4" ht="38.25" x14ac:dyDescent="0.2">
      <c r="A43" s="82" t="s">
        <v>628</v>
      </c>
      <c r="B43" s="82" t="s">
        <v>629</v>
      </c>
      <c r="C43" s="84" t="s">
        <v>10</v>
      </c>
      <c r="D43" s="83">
        <v>25</v>
      </c>
    </row>
    <row r="44" spans="1:4" ht="25.5" x14ac:dyDescent="0.2">
      <c r="A44" s="82" t="s">
        <v>630</v>
      </c>
      <c r="B44" s="82" t="s">
        <v>631</v>
      </c>
      <c r="C44" s="84" t="s">
        <v>4</v>
      </c>
      <c r="D44" s="83">
        <v>25</v>
      </c>
    </row>
    <row r="45" spans="1:4" x14ac:dyDescent="0.2">
      <c r="A45" s="80" t="s">
        <v>632</v>
      </c>
      <c r="B45" s="80" t="s">
        <v>633</v>
      </c>
      <c r="C45" s="80"/>
      <c r="D45" s="81"/>
    </row>
    <row r="46" spans="1:4" ht="38.25" x14ac:dyDescent="0.2">
      <c r="A46" s="82" t="s">
        <v>634</v>
      </c>
      <c r="B46" s="82" t="s">
        <v>635</v>
      </c>
      <c r="C46" s="84" t="s">
        <v>4</v>
      </c>
      <c r="D46" s="83">
        <v>11</v>
      </c>
    </row>
    <row r="47" spans="1:4" ht="38.25" x14ac:dyDescent="0.2">
      <c r="A47" s="82" t="s">
        <v>636</v>
      </c>
      <c r="B47" s="82" t="s">
        <v>637</v>
      </c>
      <c r="C47" s="84" t="s">
        <v>4</v>
      </c>
      <c r="D47" s="83">
        <v>13</v>
      </c>
    </row>
    <row r="48" spans="1:4" ht="25.5" x14ac:dyDescent="0.2">
      <c r="A48" s="82" t="s">
        <v>638</v>
      </c>
      <c r="B48" s="82" t="s">
        <v>639</v>
      </c>
      <c r="C48" s="84" t="s">
        <v>4</v>
      </c>
      <c r="D48" s="83">
        <v>3</v>
      </c>
    </row>
    <row r="49" spans="1:4" ht="25.5" x14ac:dyDescent="0.2">
      <c r="A49" s="82" t="s">
        <v>640</v>
      </c>
      <c r="B49" s="82" t="s">
        <v>641</v>
      </c>
      <c r="C49" s="84" t="s">
        <v>4</v>
      </c>
      <c r="D49" s="83">
        <v>22</v>
      </c>
    </row>
    <row r="50" spans="1:4" ht="25.5" x14ac:dyDescent="0.2">
      <c r="A50" s="82" t="s">
        <v>642</v>
      </c>
      <c r="B50" s="82" t="s">
        <v>643</v>
      </c>
      <c r="C50" s="84" t="s">
        <v>4</v>
      </c>
      <c r="D50" s="83">
        <v>1</v>
      </c>
    </row>
    <row r="51" spans="1:4" ht="25.5" x14ac:dyDescent="0.2">
      <c r="A51" s="82" t="s">
        <v>644</v>
      </c>
      <c r="B51" s="82" t="s">
        <v>645</v>
      </c>
      <c r="C51" s="84" t="s">
        <v>10</v>
      </c>
      <c r="D51" s="83">
        <v>25</v>
      </c>
    </row>
    <row r="52" spans="1:4" ht="38.25" x14ac:dyDescent="0.2">
      <c r="A52" s="82" t="s">
        <v>646</v>
      </c>
      <c r="B52" s="82" t="s">
        <v>647</v>
      </c>
      <c r="C52" s="84" t="s">
        <v>20</v>
      </c>
      <c r="D52" s="83">
        <v>1</v>
      </c>
    </row>
    <row r="53" spans="1:4" x14ac:dyDescent="0.2">
      <c r="A53" s="82" t="s">
        <v>648</v>
      </c>
      <c r="B53" s="82" t="s">
        <v>649</v>
      </c>
      <c r="C53" s="84" t="s">
        <v>10</v>
      </c>
      <c r="D53" s="83">
        <v>124</v>
      </c>
    </row>
    <row r="54" spans="1:4" x14ac:dyDescent="0.2">
      <c r="A54" s="82" t="s">
        <v>650</v>
      </c>
      <c r="B54" s="82" t="s">
        <v>651</v>
      </c>
      <c r="C54" s="84" t="s">
        <v>10</v>
      </c>
      <c r="D54" s="83">
        <v>2</v>
      </c>
    </row>
    <row r="55" spans="1:4" ht="38.25" x14ac:dyDescent="0.2">
      <c r="A55" s="82" t="s">
        <v>652</v>
      </c>
      <c r="B55" s="82" t="s">
        <v>653</v>
      </c>
      <c r="C55" s="84" t="s">
        <v>20</v>
      </c>
      <c r="D55" s="83">
        <v>1</v>
      </c>
    </row>
    <row r="56" spans="1:4" x14ac:dyDescent="0.2">
      <c r="A56" s="82" t="s">
        <v>654</v>
      </c>
      <c r="B56" s="82" t="s">
        <v>655</v>
      </c>
      <c r="C56" s="84" t="s">
        <v>4</v>
      </c>
      <c r="D56" s="83">
        <v>44</v>
      </c>
    </row>
    <row r="57" spans="1:4" ht="38.25" x14ac:dyDescent="0.2">
      <c r="A57" s="82" t="s">
        <v>656</v>
      </c>
      <c r="B57" s="82" t="s">
        <v>657</v>
      </c>
      <c r="C57" s="84" t="s">
        <v>4</v>
      </c>
      <c r="D57" s="83">
        <v>25</v>
      </c>
    </row>
    <row r="58" spans="1:4" ht="38.25" x14ac:dyDescent="0.2">
      <c r="A58" s="82" t="s">
        <v>658</v>
      </c>
      <c r="B58" s="82" t="s">
        <v>659</v>
      </c>
      <c r="C58" s="84" t="s">
        <v>4</v>
      </c>
      <c r="D58" s="83">
        <v>14</v>
      </c>
    </row>
    <row r="59" spans="1:4" ht="38.25" x14ac:dyDescent="0.2">
      <c r="A59" s="82" t="s">
        <v>660</v>
      </c>
      <c r="B59" s="82" t="s">
        <v>661</v>
      </c>
      <c r="C59" s="84" t="s">
        <v>4</v>
      </c>
      <c r="D59" s="83">
        <v>8</v>
      </c>
    </row>
    <row r="60" spans="1:4" ht="38.25" x14ac:dyDescent="0.2">
      <c r="A60" s="82" t="s">
        <v>662</v>
      </c>
      <c r="B60" s="82" t="s">
        <v>663</v>
      </c>
      <c r="C60" s="84" t="s">
        <v>4</v>
      </c>
      <c r="D60" s="83">
        <v>28</v>
      </c>
    </row>
    <row r="61" spans="1:4" ht="38.25" x14ac:dyDescent="0.2">
      <c r="A61" s="82" t="s">
        <v>664</v>
      </c>
      <c r="B61" s="82" t="s">
        <v>665</v>
      </c>
      <c r="C61" s="84" t="s">
        <v>4</v>
      </c>
      <c r="D61" s="83">
        <v>35</v>
      </c>
    </row>
    <row r="62" spans="1:4" x14ac:dyDescent="0.2">
      <c r="A62" s="82" t="s">
        <v>666</v>
      </c>
      <c r="B62" s="82" t="s">
        <v>667</v>
      </c>
      <c r="C62" s="84" t="s">
        <v>4</v>
      </c>
      <c r="D62" s="83">
        <v>25</v>
      </c>
    </row>
    <row r="63" spans="1:4" x14ac:dyDescent="0.2">
      <c r="A63" s="82" t="s">
        <v>668</v>
      </c>
      <c r="B63" s="82" t="s">
        <v>669</v>
      </c>
      <c r="C63" s="84" t="s">
        <v>4</v>
      </c>
      <c r="D63" s="83">
        <v>13</v>
      </c>
    </row>
    <row r="64" spans="1:4" ht="38.25" x14ac:dyDescent="0.2">
      <c r="A64" s="82" t="s">
        <v>670</v>
      </c>
      <c r="B64" s="82" t="s">
        <v>671</v>
      </c>
      <c r="C64" s="84" t="s">
        <v>4</v>
      </c>
      <c r="D64" s="83">
        <v>15</v>
      </c>
    </row>
    <row r="65" spans="1:4" ht="38.25" x14ac:dyDescent="0.2">
      <c r="A65" s="82" t="s">
        <v>672</v>
      </c>
      <c r="B65" s="82" t="s">
        <v>673</v>
      </c>
      <c r="C65" s="84" t="s">
        <v>4</v>
      </c>
      <c r="D65" s="83">
        <v>1</v>
      </c>
    </row>
    <row r="66" spans="1:4" ht="38.25" x14ac:dyDescent="0.2">
      <c r="A66" s="82" t="s">
        <v>674</v>
      </c>
      <c r="B66" s="82" t="s">
        <v>675</v>
      </c>
      <c r="C66" s="84" t="s">
        <v>4</v>
      </c>
      <c r="D66" s="83">
        <v>110.7</v>
      </c>
    </row>
    <row r="67" spans="1:4" ht="38.25" x14ac:dyDescent="0.2">
      <c r="A67" s="82" t="s">
        <v>676</v>
      </c>
      <c r="B67" s="82" t="s">
        <v>677</v>
      </c>
      <c r="C67" s="84" t="s">
        <v>4</v>
      </c>
      <c r="D67" s="83">
        <v>2</v>
      </c>
    </row>
    <row r="68" spans="1:4" ht="38.25" x14ac:dyDescent="0.2">
      <c r="A68" s="82" t="s">
        <v>678</v>
      </c>
      <c r="B68" s="82" t="s">
        <v>679</v>
      </c>
      <c r="C68" s="84" t="s">
        <v>4</v>
      </c>
      <c r="D68" s="83">
        <v>41</v>
      </c>
    </row>
    <row r="69" spans="1:4" ht="38.25" x14ac:dyDescent="0.2">
      <c r="A69" s="82" t="s">
        <v>680</v>
      </c>
      <c r="B69" s="82" t="s">
        <v>647</v>
      </c>
      <c r="C69" s="84" t="s">
        <v>20</v>
      </c>
      <c r="D69" s="83">
        <v>136.19999999999999</v>
      </c>
    </row>
    <row r="70" spans="1:4" ht="38.25" x14ac:dyDescent="0.2">
      <c r="A70" s="82" t="s">
        <v>681</v>
      </c>
      <c r="B70" s="82" t="s">
        <v>682</v>
      </c>
      <c r="C70" s="84" t="s">
        <v>20</v>
      </c>
      <c r="D70" s="83">
        <v>15.4</v>
      </c>
    </row>
    <row r="71" spans="1:4" ht="38.25" x14ac:dyDescent="0.2">
      <c r="A71" s="82" t="s">
        <v>683</v>
      </c>
      <c r="B71" s="82" t="s">
        <v>684</v>
      </c>
      <c r="C71" s="84" t="s">
        <v>20</v>
      </c>
      <c r="D71" s="83">
        <v>39.9</v>
      </c>
    </row>
    <row r="72" spans="1:4" ht="38.25" x14ac:dyDescent="0.2">
      <c r="A72" s="82" t="s">
        <v>685</v>
      </c>
      <c r="B72" s="82" t="s">
        <v>653</v>
      </c>
      <c r="C72" s="84" t="s">
        <v>20</v>
      </c>
      <c r="D72" s="83">
        <v>23.2</v>
      </c>
    </row>
    <row r="73" spans="1:4" ht="38.25" x14ac:dyDescent="0.2">
      <c r="A73" s="82" t="s">
        <v>686</v>
      </c>
      <c r="B73" s="82" t="s">
        <v>687</v>
      </c>
      <c r="C73" s="84" t="s">
        <v>4</v>
      </c>
      <c r="D73" s="83">
        <v>4</v>
      </c>
    </row>
    <row r="74" spans="1:4" ht="25.5" x14ac:dyDescent="0.2">
      <c r="A74" s="82" t="s">
        <v>688</v>
      </c>
      <c r="B74" s="82" t="s">
        <v>689</v>
      </c>
      <c r="C74" s="84" t="s">
        <v>4</v>
      </c>
      <c r="D74" s="83">
        <v>4</v>
      </c>
    </row>
    <row r="75" spans="1:4" ht="38.25" x14ac:dyDescent="0.2">
      <c r="A75" s="82" t="s">
        <v>690</v>
      </c>
      <c r="B75" s="82" t="s">
        <v>691</v>
      </c>
      <c r="C75" s="84" t="s">
        <v>20</v>
      </c>
      <c r="D75" s="83">
        <v>18.3</v>
      </c>
    </row>
    <row r="76" spans="1:4" x14ac:dyDescent="0.2">
      <c r="A76" s="82" t="s">
        <v>692</v>
      </c>
      <c r="B76" s="82" t="s">
        <v>693</v>
      </c>
      <c r="C76" s="84" t="s">
        <v>4</v>
      </c>
      <c r="D76" s="83">
        <v>10</v>
      </c>
    </row>
    <row r="77" spans="1:4" ht="38.25" x14ac:dyDescent="0.2">
      <c r="A77" s="82" t="s">
        <v>694</v>
      </c>
      <c r="B77" s="82" t="s">
        <v>695</v>
      </c>
      <c r="C77" s="84" t="s">
        <v>4</v>
      </c>
      <c r="D77" s="83">
        <v>1</v>
      </c>
    </row>
    <row r="78" spans="1:4" ht="38.25" x14ac:dyDescent="0.2">
      <c r="A78" s="82" t="s">
        <v>696</v>
      </c>
      <c r="B78" s="82" t="s">
        <v>697</v>
      </c>
      <c r="C78" s="84" t="s">
        <v>4</v>
      </c>
      <c r="D78" s="83">
        <v>8</v>
      </c>
    </row>
    <row r="79" spans="1:4" ht="38.25" x14ac:dyDescent="0.2">
      <c r="A79" s="82" t="s">
        <v>698</v>
      </c>
      <c r="B79" s="82" t="s">
        <v>699</v>
      </c>
      <c r="C79" s="84" t="s">
        <v>4</v>
      </c>
      <c r="D79" s="83">
        <v>2</v>
      </c>
    </row>
    <row r="80" spans="1:4" ht="38.25" x14ac:dyDescent="0.2">
      <c r="A80" s="82" t="s">
        <v>700</v>
      </c>
      <c r="B80" s="82" t="s">
        <v>701</v>
      </c>
      <c r="C80" s="84" t="s">
        <v>4</v>
      </c>
      <c r="D80" s="83">
        <v>1</v>
      </c>
    </row>
    <row r="81" spans="1:4" ht="38.25" x14ac:dyDescent="0.2">
      <c r="A81" s="82" t="s">
        <v>702</v>
      </c>
      <c r="B81" s="82" t="s">
        <v>703</v>
      </c>
      <c r="C81" s="84" t="s">
        <v>4</v>
      </c>
      <c r="D81" s="83">
        <v>1</v>
      </c>
    </row>
    <row r="82" spans="1:4" ht="38.25" x14ac:dyDescent="0.2">
      <c r="A82" s="82" t="s">
        <v>704</v>
      </c>
      <c r="B82" s="82" t="s">
        <v>705</v>
      </c>
      <c r="C82" s="84" t="s">
        <v>4</v>
      </c>
      <c r="D82" s="83">
        <v>1</v>
      </c>
    </row>
    <row r="83" spans="1:4" ht="38.25" x14ac:dyDescent="0.2">
      <c r="A83" s="82" t="s">
        <v>706</v>
      </c>
      <c r="B83" s="82" t="s">
        <v>707</v>
      </c>
      <c r="C83" s="84" t="s">
        <v>4</v>
      </c>
      <c r="D83" s="83">
        <v>5</v>
      </c>
    </row>
    <row r="84" spans="1:4" ht="25.5" x14ac:dyDescent="0.2">
      <c r="A84" s="82" t="s">
        <v>708</v>
      </c>
      <c r="B84" s="82" t="s">
        <v>709</v>
      </c>
      <c r="C84" s="84" t="s">
        <v>4</v>
      </c>
      <c r="D84" s="83">
        <v>1</v>
      </c>
    </row>
    <row r="85" spans="1:4" ht="38.25" x14ac:dyDescent="0.2">
      <c r="A85" s="82" t="s">
        <v>710</v>
      </c>
      <c r="B85" s="82" t="s">
        <v>711</v>
      </c>
      <c r="C85" s="84" t="s">
        <v>4</v>
      </c>
      <c r="D85" s="83">
        <v>1</v>
      </c>
    </row>
    <row r="86" spans="1:4" ht="38.25" x14ac:dyDescent="0.2">
      <c r="A86" s="82" t="s">
        <v>712</v>
      </c>
      <c r="B86" s="82" t="s">
        <v>713</v>
      </c>
      <c r="C86" s="84" t="s">
        <v>4</v>
      </c>
      <c r="D86" s="83">
        <v>1</v>
      </c>
    </row>
    <row r="87" spans="1:4" ht="38.25" x14ac:dyDescent="0.2">
      <c r="A87" s="82"/>
      <c r="B87" s="82" t="s">
        <v>803</v>
      </c>
      <c r="C87" s="84" t="s">
        <v>4</v>
      </c>
      <c r="D87" s="83">
        <v>1</v>
      </c>
    </row>
    <row r="88" spans="1:4" ht="38.25" x14ac:dyDescent="0.2">
      <c r="A88" s="82"/>
      <c r="B88" s="82" t="s">
        <v>804</v>
      </c>
      <c r="C88" s="84" t="s">
        <v>4</v>
      </c>
      <c r="D88" s="83">
        <v>1</v>
      </c>
    </row>
    <row r="89" spans="1:4" ht="38.25" x14ac:dyDescent="0.2">
      <c r="A89" s="82"/>
      <c r="B89" s="82" t="s">
        <v>805</v>
      </c>
      <c r="C89" s="84" t="s">
        <v>4</v>
      </c>
      <c r="D89" s="83">
        <v>1</v>
      </c>
    </row>
    <row r="90" spans="1:4" x14ac:dyDescent="0.2">
      <c r="A90" s="80" t="s">
        <v>714</v>
      </c>
      <c r="B90" s="80" t="s">
        <v>715</v>
      </c>
      <c r="C90" s="80"/>
      <c r="D90" s="81"/>
    </row>
    <row r="91" spans="1:4" x14ac:dyDescent="0.2">
      <c r="A91" s="82" t="s">
        <v>716</v>
      </c>
      <c r="B91" s="82" t="s">
        <v>717</v>
      </c>
      <c r="C91" s="84" t="s">
        <v>10</v>
      </c>
      <c r="D91" s="83">
        <v>9</v>
      </c>
    </row>
    <row r="92" spans="1:4" x14ac:dyDescent="0.2">
      <c r="A92" s="82" t="s">
        <v>718</v>
      </c>
      <c r="B92" s="82" t="s">
        <v>719</v>
      </c>
      <c r="C92" s="84" t="s">
        <v>4</v>
      </c>
      <c r="D92" s="83">
        <v>94</v>
      </c>
    </row>
    <row r="93" spans="1:4" x14ac:dyDescent="0.2">
      <c r="A93" s="82" t="s">
        <v>720</v>
      </c>
      <c r="B93" s="82" t="s">
        <v>693</v>
      </c>
      <c r="C93" s="84" t="s">
        <v>4</v>
      </c>
      <c r="D93" s="83">
        <v>49</v>
      </c>
    </row>
    <row r="94" spans="1:4" ht="38.25" x14ac:dyDescent="0.2">
      <c r="A94" s="82" t="s">
        <v>721</v>
      </c>
      <c r="B94" s="82" t="s">
        <v>722</v>
      </c>
      <c r="C94" s="84" t="s">
        <v>4</v>
      </c>
      <c r="D94" s="83">
        <v>5</v>
      </c>
    </row>
    <row r="95" spans="1:4" ht="38.25" x14ac:dyDescent="0.2">
      <c r="A95" s="82" t="s">
        <v>723</v>
      </c>
      <c r="B95" s="82" t="s">
        <v>724</v>
      </c>
      <c r="C95" s="84" t="s">
        <v>4</v>
      </c>
      <c r="D95" s="83">
        <v>2</v>
      </c>
    </row>
    <row r="96" spans="1:4" ht="38.25" x14ac:dyDescent="0.2">
      <c r="A96" s="82" t="s">
        <v>725</v>
      </c>
      <c r="B96" s="82" t="s">
        <v>726</v>
      </c>
      <c r="C96" s="84" t="s">
        <v>4</v>
      </c>
      <c r="D96" s="83">
        <v>31</v>
      </c>
    </row>
    <row r="97" spans="1:4" ht="38.25" x14ac:dyDescent="0.2">
      <c r="A97" s="82" t="s">
        <v>727</v>
      </c>
      <c r="B97" s="82" t="s">
        <v>728</v>
      </c>
      <c r="C97" s="84" t="s">
        <v>4</v>
      </c>
      <c r="D97" s="83">
        <v>18</v>
      </c>
    </row>
    <row r="98" spans="1:4" ht="38.25" x14ac:dyDescent="0.2">
      <c r="A98" s="82" t="s">
        <v>729</v>
      </c>
      <c r="B98" s="82" t="s">
        <v>730</v>
      </c>
      <c r="C98" s="84" t="s">
        <v>4</v>
      </c>
      <c r="D98" s="83">
        <v>3</v>
      </c>
    </row>
    <row r="99" spans="1:4" ht="38.25" x14ac:dyDescent="0.2">
      <c r="A99" s="82" t="s">
        <v>731</v>
      </c>
      <c r="B99" s="82" t="s">
        <v>703</v>
      </c>
      <c r="C99" s="84" t="s">
        <v>4</v>
      </c>
      <c r="D99" s="83">
        <v>1</v>
      </c>
    </row>
    <row r="100" spans="1:4" ht="38.25" x14ac:dyDescent="0.2">
      <c r="A100" s="82" t="s">
        <v>732</v>
      </c>
      <c r="B100" s="82" t="s">
        <v>733</v>
      </c>
      <c r="C100" s="84" t="s">
        <v>4</v>
      </c>
      <c r="D100" s="83">
        <v>1</v>
      </c>
    </row>
    <row r="101" spans="1:4" ht="38.25" x14ac:dyDescent="0.2">
      <c r="A101" s="82" t="s">
        <v>734</v>
      </c>
      <c r="B101" s="82" t="s">
        <v>735</v>
      </c>
      <c r="C101" s="84" t="s">
        <v>4</v>
      </c>
      <c r="D101" s="83">
        <v>2</v>
      </c>
    </row>
    <row r="102" spans="1:4" ht="38.25" x14ac:dyDescent="0.2">
      <c r="A102" s="82" t="s">
        <v>736</v>
      </c>
      <c r="B102" s="82" t="s">
        <v>737</v>
      </c>
      <c r="C102" s="84" t="s">
        <v>4</v>
      </c>
      <c r="D102" s="83">
        <v>1</v>
      </c>
    </row>
    <row r="103" spans="1:4" ht="25.5" x14ac:dyDescent="0.2">
      <c r="A103" s="82" t="s">
        <v>738</v>
      </c>
      <c r="B103" s="82" t="s">
        <v>709</v>
      </c>
      <c r="C103" s="84" t="s">
        <v>4</v>
      </c>
      <c r="D103" s="83">
        <v>4</v>
      </c>
    </row>
    <row r="104" spans="1:4" ht="38.25" x14ac:dyDescent="0.2">
      <c r="A104" s="82" t="s">
        <v>739</v>
      </c>
      <c r="B104" s="82" t="s">
        <v>740</v>
      </c>
      <c r="C104" s="84" t="s">
        <v>4</v>
      </c>
      <c r="D104" s="83">
        <v>2</v>
      </c>
    </row>
    <row r="105" spans="1:4" ht="38.25" x14ac:dyDescent="0.2">
      <c r="A105" s="82" t="s">
        <v>741</v>
      </c>
      <c r="B105" s="82" t="s">
        <v>742</v>
      </c>
      <c r="C105" s="84" t="s">
        <v>4</v>
      </c>
      <c r="D105" s="83">
        <v>5</v>
      </c>
    </row>
    <row r="106" spans="1:4" ht="38.25" x14ac:dyDescent="0.2">
      <c r="A106" s="82" t="s">
        <v>743</v>
      </c>
      <c r="B106" s="82" t="s">
        <v>744</v>
      </c>
      <c r="C106" s="84" t="s">
        <v>20</v>
      </c>
      <c r="D106" s="83">
        <v>56.4</v>
      </c>
    </row>
    <row r="107" spans="1:4" ht="38.25" x14ac:dyDescent="0.2">
      <c r="A107" s="82" t="s">
        <v>745</v>
      </c>
      <c r="B107" s="82" t="s">
        <v>746</v>
      </c>
      <c r="C107" s="84" t="s">
        <v>20</v>
      </c>
      <c r="D107" s="83">
        <v>61.6</v>
      </c>
    </row>
    <row r="108" spans="1:4" ht="38.25" x14ac:dyDescent="0.2">
      <c r="A108" s="82" t="s">
        <v>747</v>
      </c>
      <c r="B108" s="82" t="s">
        <v>748</v>
      </c>
      <c r="C108" s="84" t="s">
        <v>4</v>
      </c>
      <c r="D108" s="83">
        <v>2</v>
      </c>
    </row>
    <row r="109" spans="1:4" ht="38.25" x14ac:dyDescent="0.2">
      <c r="A109" s="82" t="s">
        <v>749</v>
      </c>
      <c r="B109" s="82" t="s">
        <v>750</v>
      </c>
      <c r="C109" s="84" t="s">
        <v>4</v>
      </c>
      <c r="D109" s="83">
        <v>7</v>
      </c>
    </row>
    <row r="110" spans="1:4" ht="38.25" x14ac:dyDescent="0.2">
      <c r="A110" s="82" t="s">
        <v>751</v>
      </c>
      <c r="B110" s="82" t="s">
        <v>752</v>
      </c>
      <c r="C110" s="84" t="s">
        <v>4</v>
      </c>
      <c r="D110" s="83">
        <v>12</v>
      </c>
    </row>
    <row r="111" spans="1:4" x14ac:dyDescent="0.2">
      <c r="A111" s="80" t="s">
        <v>753</v>
      </c>
      <c r="B111" s="80" t="s">
        <v>754</v>
      </c>
      <c r="C111" s="80"/>
      <c r="D111" s="81"/>
    </row>
    <row r="112" spans="1:4" ht="38.25" x14ac:dyDescent="0.2">
      <c r="A112" s="82" t="s">
        <v>755</v>
      </c>
      <c r="B112" s="82" t="s">
        <v>756</v>
      </c>
      <c r="C112" s="84" t="s">
        <v>4</v>
      </c>
      <c r="D112" s="83">
        <v>2</v>
      </c>
    </row>
    <row r="113" spans="1:4" ht="38.25" x14ac:dyDescent="0.2">
      <c r="A113" s="82" t="s">
        <v>757</v>
      </c>
      <c r="B113" s="82" t="s">
        <v>758</v>
      </c>
      <c r="C113" s="84" t="s">
        <v>20</v>
      </c>
      <c r="D113" s="83">
        <v>58.1</v>
      </c>
    </row>
    <row r="114" spans="1:4" x14ac:dyDescent="0.2">
      <c r="A114" s="82" t="s">
        <v>759</v>
      </c>
      <c r="B114" s="82" t="s">
        <v>760</v>
      </c>
      <c r="C114" s="84" t="s">
        <v>4</v>
      </c>
      <c r="D114" s="83">
        <v>11</v>
      </c>
    </row>
    <row r="115" spans="1:4" x14ac:dyDescent="0.2">
      <c r="A115" s="82" t="s">
        <v>761</v>
      </c>
      <c r="B115" s="82" t="s">
        <v>762</v>
      </c>
      <c r="C115" s="84" t="s">
        <v>4</v>
      </c>
      <c r="D115" s="83">
        <v>1</v>
      </c>
    </row>
    <row r="116" spans="1:4" x14ac:dyDescent="0.2">
      <c r="A116" s="82" t="s">
        <v>763</v>
      </c>
      <c r="B116" s="82" t="s">
        <v>717</v>
      </c>
      <c r="C116" s="84" t="s">
        <v>10</v>
      </c>
      <c r="D116" s="83">
        <v>57</v>
      </c>
    </row>
    <row r="117" spans="1:4" x14ac:dyDescent="0.2">
      <c r="A117" s="82" t="s">
        <v>764</v>
      </c>
      <c r="B117" s="82" t="s">
        <v>651</v>
      </c>
      <c r="C117" s="84" t="s">
        <v>10</v>
      </c>
      <c r="D117" s="83">
        <v>7</v>
      </c>
    </row>
    <row r="118" spans="1:4" ht="38.25" x14ac:dyDescent="0.2">
      <c r="A118" s="82" t="s">
        <v>765</v>
      </c>
      <c r="B118" s="82" t="s">
        <v>766</v>
      </c>
      <c r="C118" s="84" t="s">
        <v>4</v>
      </c>
      <c r="D118" s="83">
        <v>9</v>
      </c>
    </row>
    <row r="119" spans="1:4" ht="38.25" x14ac:dyDescent="0.2">
      <c r="A119" s="82" t="s">
        <v>767</v>
      </c>
      <c r="B119" s="82" t="s">
        <v>768</v>
      </c>
      <c r="C119" s="84" t="s">
        <v>4</v>
      </c>
      <c r="D119" s="83">
        <v>1</v>
      </c>
    </row>
    <row r="120" spans="1:4" ht="38.25" x14ac:dyDescent="0.2">
      <c r="A120" s="82" t="s">
        <v>769</v>
      </c>
      <c r="B120" s="82" t="s">
        <v>770</v>
      </c>
      <c r="C120" s="84" t="s">
        <v>4</v>
      </c>
      <c r="D120" s="83">
        <v>6</v>
      </c>
    </row>
    <row r="121" spans="1:4" ht="38.25" x14ac:dyDescent="0.2">
      <c r="A121" s="82" t="s">
        <v>771</v>
      </c>
      <c r="B121" s="82" t="s">
        <v>772</v>
      </c>
      <c r="C121" s="84" t="s">
        <v>4</v>
      </c>
      <c r="D121" s="83">
        <v>1</v>
      </c>
    </row>
    <row r="122" spans="1:4" ht="38.25" x14ac:dyDescent="0.2">
      <c r="A122" s="82" t="s">
        <v>773</v>
      </c>
      <c r="B122" s="82" t="s">
        <v>774</v>
      </c>
      <c r="C122" s="84" t="s">
        <v>4</v>
      </c>
      <c r="D122" s="83">
        <v>7</v>
      </c>
    </row>
    <row r="123" spans="1:4" ht="38.25" x14ac:dyDescent="0.2">
      <c r="A123" s="82" t="s">
        <v>775</v>
      </c>
      <c r="B123" s="82" t="s">
        <v>776</v>
      </c>
      <c r="C123" s="84" t="s">
        <v>4</v>
      </c>
      <c r="D123" s="83">
        <v>1</v>
      </c>
    </row>
    <row r="124" spans="1:4" ht="38.25" x14ac:dyDescent="0.2">
      <c r="A124" s="82" t="s">
        <v>777</v>
      </c>
      <c r="B124" s="82" t="s">
        <v>778</v>
      </c>
      <c r="C124" s="84" t="s">
        <v>4</v>
      </c>
      <c r="D124" s="83">
        <v>2</v>
      </c>
    </row>
    <row r="125" spans="1:4" ht="38.25" x14ac:dyDescent="0.2">
      <c r="A125" s="82" t="s">
        <v>779</v>
      </c>
      <c r="B125" s="82" t="s">
        <v>780</v>
      </c>
      <c r="C125" s="84" t="s">
        <v>4</v>
      </c>
      <c r="D125" s="83">
        <v>49</v>
      </c>
    </row>
    <row r="126" spans="1:4" ht="38.25" x14ac:dyDescent="0.2">
      <c r="A126" s="82" t="s">
        <v>781</v>
      </c>
      <c r="B126" s="82" t="s">
        <v>782</v>
      </c>
      <c r="C126" s="84" t="s">
        <v>4</v>
      </c>
      <c r="D126" s="83">
        <v>11</v>
      </c>
    </row>
    <row r="127" spans="1:4" ht="38.25" x14ac:dyDescent="0.2">
      <c r="A127" s="82" t="s">
        <v>783</v>
      </c>
      <c r="B127" s="82" t="s">
        <v>647</v>
      </c>
      <c r="C127" s="84" t="s">
        <v>20</v>
      </c>
      <c r="D127" s="83">
        <v>102.3</v>
      </c>
    </row>
    <row r="128" spans="1:4" ht="38.25" x14ac:dyDescent="0.2">
      <c r="A128" s="82" t="s">
        <v>784</v>
      </c>
      <c r="B128" s="82" t="s">
        <v>682</v>
      </c>
      <c r="C128" s="84" t="s">
        <v>20</v>
      </c>
      <c r="D128" s="83">
        <v>13.7</v>
      </c>
    </row>
    <row r="129" spans="1:4" ht="38.25" x14ac:dyDescent="0.2">
      <c r="A129" s="82" t="s">
        <v>785</v>
      </c>
      <c r="B129" s="82" t="s">
        <v>786</v>
      </c>
      <c r="C129" s="84" t="s">
        <v>4</v>
      </c>
      <c r="D129" s="83">
        <v>1</v>
      </c>
    </row>
    <row r="130" spans="1:4" ht="38.25" x14ac:dyDescent="0.2">
      <c r="A130" s="82" t="s">
        <v>787</v>
      </c>
      <c r="B130" s="82" t="s">
        <v>788</v>
      </c>
      <c r="C130" s="84" t="s">
        <v>4</v>
      </c>
      <c r="D130" s="83">
        <v>1</v>
      </c>
    </row>
    <row r="131" spans="1:4" x14ac:dyDescent="0.2">
      <c r="A131" s="80" t="s">
        <v>789</v>
      </c>
      <c r="B131" s="80" t="s">
        <v>790</v>
      </c>
      <c r="C131" s="80"/>
      <c r="D131" s="81"/>
    </row>
    <row r="132" spans="1:4" ht="38.25" x14ac:dyDescent="0.2">
      <c r="A132" s="82" t="s">
        <v>791</v>
      </c>
      <c r="B132" s="82" t="s">
        <v>792</v>
      </c>
      <c r="C132" s="84" t="s">
        <v>4</v>
      </c>
      <c r="D132" s="83">
        <v>41</v>
      </c>
    </row>
    <row r="133" spans="1:4" ht="38.25" x14ac:dyDescent="0.2">
      <c r="A133" s="82" t="s">
        <v>793</v>
      </c>
      <c r="B133" s="82" t="s">
        <v>794</v>
      </c>
      <c r="C133" s="84" t="s">
        <v>4</v>
      </c>
      <c r="D133" s="83">
        <v>17</v>
      </c>
    </row>
    <row r="134" spans="1:4" ht="25.5" x14ac:dyDescent="0.2">
      <c r="A134" s="82" t="s">
        <v>795</v>
      </c>
      <c r="B134" s="82" t="s">
        <v>796</v>
      </c>
      <c r="C134" s="84" t="s">
        <v>20</v>
      </c>
      <c r="D134" s="83">
        <v>17</v>
      </c>
    </row>
    <row r="135" spans="1:4" ht="25.5" x14ac:dyDescent="0.2">
      <c r="A135" s="82" t="s">
        <v>797</v>
      </c>
      <c r="B135" s="82" t="s">
        <v>798</v>
      </c>
      <c r="C135" s="84" t="s">
        <v>4</v>
      </c>
      <c r="D135" s="83">
        <v>17</v>
      </c>
    </row>
    <row r="136" spans="1:4" x14ac:dyDescent="0.2">
      <c r="A136" s="82" t="s">
        <v>799</v>
      </c>
      <c r="B136" s="82" t="s">
        <v>800</v>
      </c>
      <c r="C136" s="84" t="s">
        <v>4</v>
      </c>
      <c r="D136" s="83">
        <v>6</v>
      </c>
    </row>
    <row r="137" spans="1:4" ht="38.25" x14ac:dyDescent="0.2">
      <c r="A137" s="82" t="s">
        <v>801</v>
      </c>
      <c r="B137" s="82" t="s">
        <v>802</v>
      </c>
      <c r="C137" s="84" t="s">
        <v>4</v>
      </c>
      <c r="D137" s="83">
        <v>14</v>
      </c>
    </row>
  </sheetData>
  <mergeCells count="1">
    <mergeCell ref="A1:D1"/>
  </mergeCells>
  <phoneticPr fontId="7" type="noConversion"/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4E0BA-4860-48C6-924A-7E37F7C7C32F}">
  <dimension ref="A1:P145"/>
  <sheetViews>
    <sheetView workbookViewId="0">
      <selection activeCell="H6" sqref="H6"/>
    </sheetView>
  </sheetViews>
  <sheetFormatPr defaultRowHeight="12.75" x14ac:dyDescent="0.2"/>
  <cols>
    <col min="2" max="2" width="63.85546875" customWidth="1"/>
    <col min="4" max="4" width="12" customWidth="1"/>
  </cols>
  <sheetData>
    <row r="1" spans="1:16" ht="15.75" x14ac:dyDescent="0.2">
      <c r="A1" s="113" t="s">
        <v>32</v>
      </c>
      <c r="B1" s="114"/>
      <c r="C1" s="114"/>
      <c r="D1" s="115"/>
      <c r="E1" s="10"/>
      <c r="F1" s="11"/>
      <c r="G1" s="11"/>
      <c r="H1" s="12"/>
      <c r="I1" s="12"/>
      <c r="J1" s="12"/>
      <c r="K1" s="12"/>
      <c r="L1" s="12"/>
      <c r="M1" s="12"/>
      <c r="N1" s="12"/>
      <c r="O1" s="12"/>
      <c r="P1" s="12"/>
    </row>
    <row r="2" spans="1:16" x14ac:dyDescent="0.2">
      <c r="A2" s="116" t="s">
        <v>163</v>
      </c>
      <c r="B2" s="117" t="s">
        <v>164</v>
      </c>
      <c r="C2" s="118" t="s">
        <v>165</v>
      </c>
      <c r="D2" s="119" t="s">
        <v>166</v>
      </c>
      <c r="E2" s="13"/>
      <c r="F2" s="14"/>
      <c r="G2" s="14"/>
    </row>
    <row r="3" spans="1:16" x14ac:dyDescent="0.2">
      <c r="A3" s="116"/>
      <c r="B3" s="117"/>
      <c r="C3" s="118"/>
      <c r="D3" s="119"/>
      <c r="E3" s="13"/>
      <c r="F3" s="14"/>
      <c r="G3" s="14"/>
    </row>
    <row r="4" spans="1:16" x14ac:dyDescent="0.2">
      <c r="A4" s="15">
        <v>1</v>
      </c>
      <c r="B4" s="16" t="s">
        <v>167</v>
      </c>
      <c r="C4" s="17"/>
      <c r="D4" s="18"/>
      <c r="E4" s="13"/>
      <c r="F4" s="14"/>
      <c r="G4" s="14"/>
    </row>
    <row r="5" spans="1:16" x14ac:dyDescent="0.2">
      <c r="A5" s="19" t="s">
        <v>103</v>
      </c>
      <c r="B5" s="20" t="s">
        <v>168</v>
      </c>
      <c r="C5" s="19"/>
      <c r="D5" s="21"/>
      <c r="E5" s="13"/>
      <c r="F5" s="14"/>
      <c r="G5" s="14"/>
    </row>
    <row r="6" spans="1:16" ht="25.5" x14ac:dyDescent="0.2">
      <c r="A6" s="22" t="s">
        <v>169</v>
      </c>
      <c r="B6" s="23" t="s">
        <v>170</v>
      </c>
      <c r="C6" s="22" t="s">
        <v>171</v>
      </c>
      <c r="D6" s="24">
        <f>20+1929+18+160-9-8-8-113-9-61-27</f>
        <v>1892</v>
      </c>
      <c r="E6" s="13"/>
      <c r="F6" s="14"/>
      <c r="G6" s="14"/>
      <c r="H6" s="25"/>
    </row>
    <row r="7" spans="1:16" ht="25.5" x14ac:dyDescent="0.2">
      <c r="A7" s="22" t="s">
        <v>172</v>
      </c>
      <c r="B7" s="23" t="s">
        <v>173</v>
      </c>
      <c r="C7" s="22" t="s">
        <v>171</v>
      </c>
      <c r="D7" s="24">
        <v>9</v>
      </c>
      <c r="E7" s="13"/>
      <c r="F7" s="14">
        <f>2.08+1.58+1.58+1.58+1.02</f>
        <v>7.84</v>
      </c>
      <c r="G7" s="14">
        <f>F7*0.1</f>
        <v>0.78400000000000003</v>
      </c>
      <c r="H7" s="14">
        <f>SUM(F7:G7)</f>
        <v>8.6240000000000006</v>
      </c>
    </row>
    <row r="8" spans="1:16" ht="25.5" x14ac:dyDescent="0.2">
      <c r="A8" s="22" t="s">
        <v>174</v>
      </c>
      <c r="B8" s="23" t="s">
        <v>175</v>
      </c>
      <c r="C8" s="22" t="s">
        <v>171</v>
      </c>
      <c r="D8" s="24">
        <v>8</v>
      </c>
      <c r="E8" s="13"/>
      <c r="F8" s="14">
        <f>(3.5*2)</f>
        <v>7</v>
      </c>
      <c r="G8" s="14">
        <f t="shared" ref="G8:G9" si="0">F8*0.1</f>
        <v>0.70000000000000007</v>
      </c>
      <c r="H8" s="14">
        <f t="shared" ref="H8:H9" si="1">SUM(F8:G8)</f>
        <v>7.7</v>
      </c>
    </row>
    <row r="9" spans="1:16" ht="25.5" x14ac:dyDescent="0.2">
      <c r="A9" s="22" t="s">
        <v>176</v>
      </c>
      <c r="B9" s="23" t="s">
        <v>177</v>
      </c>
      <c r="C9" s="22" t="s">
        <v>171</v>
      </c>
      <c r="D9" s="24">
        <v>8</v>
      </c>
      <c r="E9" s="13"/>
      <c r="F9" s="14">
        <f>(3.5*2)</f>
        <v>7</v>
      </c>
      <c r="G9" s="14">
        <f t="shared" si="0"/>
        <v>0.70000000000000007</v>
      </c>
      <c r="H9" s="14">
        <f t="shared" si="1"/>
        <v>7.7</v>
      </c>
    </row>
    <row r="10" spans="1:16" ht="25.5" x14ac:dyDescent="0.2">
      <c r="A10" s="22" t="s">
        <v>178</v>
      </c>
      <c r="B10" s="23" t="s">
        <v>179</v>
      </c>
      <c r="C10" s="22" t="s">
        <v>171</v>
      </c>
      <c r="D10" s="24">
        <v>113</v>
      </c>
      <c r="E10" s="13"/>
      <c r="F10" s="14">
        <f>21.21+13.7+13.4+6.7+15.87+16.92+14.5</f>
        <v>102.3</v>
      </c>
      <c r="G10" s="14">
        <f>F10*0.1</f>
        <v>10.23</v>
      </c>
      <c r="H10" s="14">
        <f>SUM(F10:G10)</f>
        <v>112.53</v>
      </c>
    </row>
    <row r="11" spans="1:16" ht="25.5" x14ac:dyDescent="0.2">
      <c r="A11" s="22" t="s">
        <v>180</v>
      </c>
      <c r="B11" s="23" t="s">
        <v>181</v>
      </c>
      <c r="C11" s="22" t="s">
        <v>171</v>
      </c>
      <c r="D11" s="24">
        <v>9</v>
      </c>
      <c r="E11" s="13"/>
      <c r="F11" s="14">
        <f>3.75*2</f>
        <v>7.5</v>
      </c>
      <c r="G11" s="14">
        <f>F11*0.1</f>
        <v>0.75</v>
      </c>
      <c r="H11" s="14">
        <f>SUM(F11:G11)</f>
        <v>8.25</v>
      </c>
    </row>
    <row r="12" spans="1:16" ht="25.5" x14ac:dyDescent="0.2">
      <c r="A12" s="22" t="s">
        <v>182</v>
      </c>
      <c r="B12" s="23" t="s">
        <v>183</v>
      </c>
      <c r="C12" s="22" t="s">
        <v>171</v>
      </c>
      <c r="D12" s="24">
        <v>61</v>
      </c>
      <c r="E12" s="13"/>
      <c r="F12" s="14">
        <f>(8.72+8.58+1.6+1.6+0.3+0.3)*2+(13)</f>
        <v>55.20000000000001</v>
      </c>
      <c r="G12" s="14">
        <f>F12*0.1</f>
        <v>5.5200000000000014</v>
      </c>
      <c r="H12" s="14">
        <f>SUM(F12:G12)</f>
        <v>60.720000000000013</v>
      </c>
    </row>
    <row r="13" spans="1:16" x14ac:dyDescent="0.2">
      <c r="A13" s="22" t="s">
        <v>184</v>
      </c>
      <c r="B13" s="23" t="s">
        <v>185</v>
      </c>
      <c r="C13" s="22" t="s">
        <v>171</v>
      </c>
      <c r="D13" s="24">
        <v>27</v>
      </c>
      <c r="E13" s="13"/>
      <c r="F13" s="14">
        <f>8.53+1.6+1.6+8.36+4.28</f>
        <v>24.369999999999997</v>
      </c>
      <c r="G13" s="14">
        <f>F13*0.1</f>
        <v>2.4369999999999998</v>
      </c>
      <c r="H13" s="14">
        <f>SUM(F13:G13)</f>
        <v>26.806999999999999</v>
      </c>
    </row>
    <row r="14" spans="1:16" x14ac:dyDescent="0.2">
      <c r="A14" s="22" t="s">
        <v>186</v>
      </c>
      <c r="B14" s="23" t="s">
        <v>187</v>
      </c>
      <c r="C14" s="22" t="s">
        <v>188</v>
      </c>
      <c r="D14" s="24">
        <v>21</v>
      </c>
      <c r="E14" s="13"/>
      <c r="F14" s="14">
        <f>9+8+4</f>
        <v>21</v>
      </c>
      <c r="G14" s="14"/>
    </row>
    <row r="15" spans="1:16" x14ac:dyDescent="0.2">
      <c r="A15" s="22" t="s">
        <v>189</v>
      </c>
      <c r="B15" s="23" t="s">
        <v>190</v>
      </c>
      <c r="C15" s="22" t="s">
        <v>188</v>
      </c>
      <c r="D15" s="24">
        <f>261-9</f>
        <v>252</v>
      </c>
      <c r="E15" s="13"/>
      <c r="F15" s="14">
        <f>3+2+4</f>
        <v>9</v>
      </c>
      <c r="G15" s="14"/>
    </row>
    <row r="16" spans="1:16" x14ac:dyDescent="0.2">
      <c r="A16" s="22" t="s">
        <v>191</v>
      </c>
      <c r="B16" s="23" t="s">
        <v>192</v>
      </c>
      <c r="C16" s="22" t="s">
        <v>188</v>
      </c>
      <c r="D16" s="24">
        <v>4</v>
      </c>
      <c r="E16" s="13"/>
      <c r="F16" s="14"/>
      <c r="G16" s="14"/>
    </row>
    <row r="17" spans="1:8" x14ac:dyDescent="0.2">
      <c r="A17" s="22" t="s">
        <v>193</v>
      </c>
      <c r="B17" s="23" t="s">
        <v>194</v>
      </c>
      <c r="C17" s="22" t="s">
        <v>188</v>
      </c>
      <c r="D17" s="24">
        <v>1</v>
      </c>
      <c r="E17" s="13"/>
      <c r="F17" s="14"/>
      <c r="G17" s="14"/>
    </row>
    <row r="18" spans="1:8" x14ac:dyDescent="0.2">
      <c r="A18" s="22" t="s">
        <v>195</v>
      </c>
      <c r="B18" s="23" t="s">
        <v>196</v>
      </c>
      <c r="C18" s="22" t="s">
        <v>188</v>
      </c>
      <c r="D18" s="24">
        <v>202</v>
      </c>
      <c r="E18" s="13"/>
      <c r="F18" s="14"/>
      <c r="G18" s="14"/>
    </row>
    <row r="19" spans="1:8" x14ac:dyDescent="0.2">
      <c r="A19" s="26" t="s">
        <v>197</v>
      </c>
      <c r="B19" s="27" t="s">
        <v>198</v>
      </c>
      <c r="C19" s="26"/>
      <c r="D19" s="28"/>
      <c r="E19" s="13"/>
      <c r="F19" s="14"/>
      <c r="G19" s="14"/>
    </row>
    <row r="20" spans="1:8" x14ac:dyDescent="0.2">
      <c r="A20" s="22" t="s">
        <v>199</v>
      </c>
      <c r="B20" s="23" t="s">
        <v>200</v>
      </c>
      <c r="C20" s="22" t="s">
        <v>171</v>
      </c>
      <c r="D20" s="24">
        <v>595</v>
      </c>
      <c r="E20" s="13"/>
      <c r="F20" s="14"/>
      <c r="G20" s="14"/>
    </row>
    <row r="21" spans="1:8" x14ac:dyDescent="0.2">
      <c r="A21" s="22" t="s">
        <v>201</v>
      </c>
      <c r="B21" s="23" t="s">
        <v>202</v>
      </c>
      <c r="C21" s="22" t="s">
        <v>171</v>
      </c>
      <c r="D21" s="24">
        <v>791</v>
      </c>
      <c r="E21" s="13"/>
      <c r="F21" s="14"/>
      <c r="G21" s="14"/>
      <c r="H21" s="29"/>
    </row>
    <row r="22" spans="1:8" x14ac:dyDescent="0.2">
      <c r="A22" s="22" t="s">
        <v>203</v>
      </c>
      <c r="B22" s="23" t="s">
        <v>204</v>
      </c>
      <c r="C22" s="22" t="s">
        <v>171</v>
      </c>
      <c r="D22" s="24">
        <v>1645</v>
      </c>
      <c r="E22" s="13"/>
      <c r="F22" s="14"/>
      <c r="G22" s="14"/>
      <c r="H22" s="29"/>
    </row>
    <row r="23" spans="1:8" x14ac:dyDescent="0.2">
      <c r="A23" s="22" t="s">
        <v>205</v>
      </c>
      <c r="B23" s="23" t="s">
        <v>206</v>
      </c>
      <c r="C23" s="22" t="s">
        <v>171</v>
      </c>
      <c r="D23" s="24">
        <v>1850</v>
      </c>
      <c r="E23" s="13"/>
      <c r="F23" s="14"/>
      <c r="G23" s="14"/>
    </row>
    <row r="24" spans="1:8" x14ac:dyDescent="0.2">
      <c r="A24" s="22" t="s">
        <v>207</v>
      </c>
      <c r="B24" s="23" t="s">
        <v>208</v>
      </c>
      <c r="C24" s="22" t="s">
        <v>171</v>
      </c>
      <c r="D24" s="24">
        <v>1286</v>
      </c>
      <c r="E24" s="13"/>
      <c r="F24" s="14"/>
      <c r="G24" s="14"/>
    </row>
    <row r="25" spans="1:8" x14ac:dyDescent="0.2">
      <c r="A25" s="22" t="s">
        <v>209</v>
      </c>
      <c r="B25" s="23" t="s">
        <v>210</v>
      </c>
      <c r="C25" s="22" t="s">
        <v>171</v>
      </c>
      <c r="D25" s="24">
        <f>13+1512</f>
        <v>1525</v>
      </c>
      <c r="E25" s="13"/>
      <c r="F25" s="14"/>
      <c r="G25" s="14"/>
    </row>
    <row r="26" spans="1:8" x14ac:dyDescent="0.2">
      <c r="A26" s="22" t="s">
        <v>211</v>
      </c>
      <c r="B26" s="23" t="s">
        <v>212</v>
      </c>
      <c r="C26" s="22" t="s">
        <v>171</v>
      </c>
      <c r="D26" s="24">
        <v>171</v>
      </c>
      <c r="E26" s="13"/>
      <c r="F26" s="14"/>
      <c r="G26" s="14"/>
    </row>
    <row r="27" spans="1:8" x14ac:dyDescent="0.2">
      <c r="A27" s="22" t="s">
        <v>213</v>
      </c>
      <c r="B27" s="23" t="s">
        <v>214</v>
      </c>
      <c r="C27" s="22" t="s">
        <v>171</v>
      </c>
      <c r="D27" s="24">
        <v>84</v>
      </c>
      <c r="E27" s="13"/>
      <c r="F27" s="14"/>
      <c r="G27" s="14"/>
    </row>
    <row r="28" spans="1:8" x14ac:dyDescent="0.2">
      <c r="A28" s="22" t="s">
        <v>215</v>
      </c>
      <c r="B28" s="23" t="s">
        <v>216</v>
      </c>
      <c r="C28" s="22" t="s">
        <v>171</v>
      </c>
      <c r="D28" s="24">
        <v>117</v>
      </c>
      <c r="E28" s="13"/>
      <c r="F28" s="14"/>
      <c r="G28" s="14"/>
    </row>
    <row r="29" spans="1:8" x14ac:dyDescent="0.2">
      <c r="A29" s="22" t="s">
        <v>217</v>
      </c>
      <c r="B29" s="23" t="s">
        <v>218</v>
      </c>
      <c r="C29" s="22" t="s">
        <v>171</v>
      </c>
      <c r="D29" s="24">
        <f>465-49</f>
        <v>416</v>
      </c>
      <c r="E29" s="13"/>
      <c r="F29" s="14"/>
      <c r="G29" s="14"/>
    </row>
    <row r="30" spans="1:8" x14ac:dyDescent="0.2">
      <c r="A30" s="22" t="s">
        <v>219</v>
      </c>
      <c r="B30" s="23" t="s">
        <v>220</v>
      </c>
      <c r="C30" s="22" t="s">
        <v>171</v>
      </c>
      <c r="D30" s="24">
        <f>139-17</f>
        <v>122</v>
      </c>
      <c r="E30" s="13"/>
      <c r="F30" s="14"/>
      <c r="G30" s="14"/>
    </row>
    <row r="31" spans="1:8" x14ac:dyDescent="0.2">
      <c r="A31" s="22" t="s">
        <v>221</v>
      </c>
      <c r="B31" s="23" t="s">
        <v>222</v>
      </c>
      <c r="C31" s="22" t="s">
        <v>171</v>
      </c>
      <c r="D31" s="24">
        <f>232-17</f>
        <v>215</v>
      </c>
      <c r="E31" s="13"/>
      <c r="F31" s="14"/>
      <c r="G31" s="30"/>
    </row>
    <row r="32" spans="1:8" x14ac:dyDescent="0.2">
      <c r="A32" s="22" t="s">
        <v>223</v>
      </c>
      <c r="B32" s="23" t="s">
        <v>224</v>
      </c>
      <c r="C32" s="22" t="s">
        <v>171</v>
      </c>
      <c r="D32" s="24">
        <f>ROUNDUP(H32,0)</f>
        <v>35</v>
      </c>
      <c r="E32" s="13"/>
      <c r="F32" s="14">
        <f>(1+1+8.46)*3</f>
        <v>31.380000000000003</v>
      </c>
      <c r="G32" s="14">
        <f>F32*0.1</f>
        <v>3.1380000000000003</v>
      </c>
      <c r="H32">
        <f>SUM(F32:G32)</f>
        <v>34.518000000000001</v>
      </c>
    </row>
    <row r="33" spans="1:8" x14ac:dyDescent="0.2">
      <c r="A33" s="22" t="s">
        <v>225</v>
      </c>
      <c r="B33" s="23" t="s">
        <v>226</v>
      </c>
      <c r="C33" s="22" t="s">
        <v>171</v>
      </c>
      <c r="D33" s="24">
        <f t="shared" ref="D33:D45" si="2">ROUNDUP(H33,0)</f>
        <v>12</v>
      </c>
      <c r="E33" s="13"/>
      <c r="F33" s="14">
        <f>8.46+1+1</f>
        <v>10.46</v>
      </c>
      <c r="G33" s="14">
        <f t="shared" ref="G33:G39" si="3">F33*0.1</f>
        <v>1.046</v>
      </c>
      <c r="H33">
        <f t="shared" ref="H33:H34" si="4">SUM(F33:G33)</f>
        <v>11.506</v>
      </c>
    </row>
    <row r="34" spans="1:8" x14ac:dyDescent="0.2">
      <c r="A34" s="22" t="s">
        <v>227</v>
      </c>
      <c r="B34" s="23" t="s">
        <v>228</v>
      </c>
      <c r="C34" s="22" t="s">
        <v>171</v>
      </c>
      <c r="D34" s="24">
        <f t="shared" si="2"/>
        <v>12</v>
      </c>
      <c r="E34" s="13"/>
      <c r="F34" s="14">
        <f>8.49+1+1</f>
        <v>10.49</v>
      </c>
      <c r="G34" s="14">
        <f t="shared" si="3"/>
        <v>1.0490000000000002</v>
      </c>
      <c r="H34">
        <f t="shared" si="4"/>
        <v>11.539</v>
      </c>
    </row>
    <row r="35" spans="1:8" x14ac:dyDescent="0.2">
      <c r="A35" s="22" t="s">
        <v>229</v>
      </c>
      <c r="B35" s="23" t="s">
        <v>230</v>
      </c>
      <c r="C35" s="22" t="s">
        <v>171</v>
      </c>
      <c r="D35" s="24">
        <f t="shared" si="2"/>
        <v>37</v>
      </c>
      <c r="E35" s="13"/>
      <c r="F35" s="14">
        <f>((3.5+1+1)*3)*2</f>
        <v>33</v>
      </c>
      <c r="G35" s="14">
        <f t="shared" si="3"/>
        <v>3.3000000000000003</v>
      </c>
      <c r="H35">
        <f t="shared" ref="H35:H39" si="5">SUM(F35:G35)</f>
        <v>36.299999999999997</v>
      </c>
    </row>
    <row r="36" spans="1:8" x14ac:dyDescent="0.2">
      <c r="A36" s="22" t="s">
        <v>231</v>
      </c>
      <c r="B36" s="23" t="s">
        <v>232</v>
      </c>
      <c r="C36" s="22" t="s">
        <v>171</v>
      </c>
      <c r="D36" s="24">
        <f t="shared" si="2"/>
        <v>13</v>
      </c>
      <c r="E36" s="13"/>
      <c r="F36" s="14">
        <f>(3.5+1+1)*2</f>
        <v>11</v>
      </c>
      <c r="G36" s="14">
        <f t="shared" si="3"/>
        <v>1.1000000000000001</v>
      </c>
      <c r="H36">
        <f t="shared" si="5"/>
        <v>12.1</v>
      </c>
    </row>
    <row r="37" spans="1:8" x14ac:dyDescent="0.2">
      <c r="A37" s="22" t="s">
        <v>233</v>
      </c>
      <c r="B37" s="23" t="s">
        <v>234</v>
      </c>
      <c r="C37" s="22" t="s">
        <v>171</v>
      </c>
      <c r="D37" s="24">
        <f t="shared" si="2"/>
        <v>25</v>
      </c>
      <c r="E37" s="13"/>
      <c r="F37" s="14">
        <f>((3.5+1+1)*2)*2</f>
        <v>22</v>
      </c>
      <c r="G37" s="14">
        <f t="shared" si="3"/>
        <v>2.2000000000000002</v>
      </c>
      <c r="H37">
        <f t="shared" si="5"/>
        <v>24.2</v>
      </c>
    </row>
    <row r="38" spans="1:8" x14ac:dyDescent="0.2">
      <c r="A38" s="22" t="s">
        <v>235</v>
      </c>
      <c r="B38" s="23" t="s">
        <v>236</v>
      </c>
      <c r="C38" s="22" t="s">
        <v>171</v>
      </c>
      <c r="D38" s="24">
        <f t="shared" si="2"/>
        <v>37</v>
      </c>
      <c r="E38" s="13"/>
      <c r="F38" s="14">
        <f>((3.5+1+1)*3)*2</f>
        <v>33</v>
      </c>
      <c r="G38" s="14">
        <f t="shared" si="3"/>
        <v>3.3000000000000003</v>
      </c>
      <c r="H38">
        <f t="shared" si="5"/>
        <v>36.299999999999997</v>
      </c>
    </row>
    <row r="39" spans="1:8" x14ac:dyDescent="0.2">
      <c r="A39" s="22" t="s">
        <v>237</v>
      </c>
      <c r="B39" s="23" t="s">
        <v>238</v>
      </c>
      <c r="C39" s="22" t="s">
        <v>171</v>
      </c>
      <c r="D39" s="24">
        <f t="shared" si="2"/>
        <v>13</v>
      </c>
      <c r="E39" s="13"/>
      <c r="F39" s="14">
        <f>(3.5+1+1)*2</f>
        <v>11</v>
      </c>
      <c r="G39" s="14">
        <f t="shared" si="3"/>
        <v>1.1000000000000001</v>
      </c>
      <c r="H39">
        <f t="shared" si="5"/>
        <v>12.1</v>
      </c>
    </row>
    <row r="40" spans="1:8" x14ac:dyDescent="0.2">
      <c r="A40" s="22" t="s">
        <v>239</v>
      </c>
      <c r="B40" s="23" t="s">
        <v>240</v>
      </c>
      <c r="C40" s="22" t="s">
        <v>171</v>
      </c>
      <c r="D40" s="24">
        <f t="shared" si="2"/>
        <v>176</v>
      </c>
      <c r="E40" s="13"/>
      <c r="F40" s="14">
        <f>(((8.72+8.58+1+1)*3)*2)+((1+1+12.55)*3)</f>
        <v>159.45000000000002</v>
      </c>
      <c r="G40" s="14">
        <f>F40*0.1</f>
        <v>15.945000000000002</v>
      </c>
      <c r="H40">
        <f>SUM(F40:G40)</f>
        <v>175.39500000000001</v>
      </c>
    </row>
    <row r="41" spans="1:8" x14ac:dyDescent="0.2">
      <c r="A41" s="22" t="s">
        <v>241</v>
      </c>
      <c r="B41" s="23" t="s">
        <v>242</v>
      </c>
      <c r="C41" s="22" t="s">
        <v>171</v>
      </c>
      <c r="D41" s="24">
        <f t="shared" si="2"/>
        <v>57</v>
      </c>
      <c r="E41" s="13"/>
      <c r="F41" s="14">
        <f>((8.72+8.58+1+1)*2)+12.55</f>
        <v>51.150000000000006</v>
      </c>
      <c r="G41" s="14">
        <f t="shared" ref="G41:G45" si="6">F41*0.1</f>
        <v>5.1150000000000011</v>
      </c>
      <c r="H41">
        <f t="shared" ref="H41:H42" si="7">SUM(F41:G41)</f>
        <v>56.265000000000008</v>
      </c>
    </row>
    <row r="42" spans="1:8" x14ac:dyDescent="0.2">
      <c r="A42" s="22" t="s">
        <v>243</v>
      </c>
      <c r="B42" s="23" t="s">
        <v>244</v>
      </c>
      <c r="C42" s="22" t="s">
        <v>171</v>
      </c>
      <c r="D42" s="24">
        <f t="shared" si="2"/>
        <v>36</v>
      </c>
      <c r="E42" s="13"/>
      <c r="F42" s="14">
        <f>8.72+8.58+12.55+1+1</f>
        <v>31.85</v>
      </c>
      <c r="G42" s="14">
        <f t="shared" si="6"/>
        <v>3.1850000000000005</v>
      </c>
      <c r="H42">
        <f t="shared" si="7"/>
        <v>35.035000000000004</v>
      </c>
    </row>
    <row r="43" spans="1:8" x14ac:dyDescent="0.2">
      <c r="A43" s="22" t="s">
        <v>245</v>
      </c>
      <c r="B43" s="23" t="s">
        <v>246</v>
      </c>
      <c r="C43" s="22" t="s">
        <v>171</v>
      </c>
      <c r="D43" s="24">
        <f t="shared" si="2"/>
        <v>49</v>
      </c>
      <c r="E43" s="13"/>
      <c r="F43" s="14">
        <f>(8.36+4.28+1+1)*3</f>
        <v>43.92</v>
      </c>
      <c r="G43" s="14">
        <f t="shared" si="6"/>
        <v>4.3920000000000003</v>
      </c>
      <c r="H43">
        <f t="shared" ref="H43:H45" si="8">SUM(F43:G43)</f>
        <v>48.312000000000005</v>
      </c>
    </row>
    <row r="44" spans="1:8" x14ac:dyDescent="0.2">
      <c r="A44" s="22" t="s">
        <v>247</v>
      </c>
      <c r="B44" s="23" t="s">
        <v>248</v>
      </c>
      <c r="C44" s="22" t="s">
        <v>171</v>
      </c>
      <c r="D44" s="24">
        <f t="shared" si="2"/>
        <v>17</v>
      </c>
      <c r="E44" s="13"/>
      <c r="F44" s="14">
        <f>F43/3</f>
        <v>14.64</v>
      </c>
      <c r="G44" s="14">
        <f t="shared" si="6"/>
        <v>1.4640000000000002</v>
      </c>
      <c r="H44">
        <f t="shared" si="8"/>
        <v>16.103999999999999</v>
      </c>
    </row>
    <row r="45" spans="1:8" x14ac:dyDescent="0.2">
      <c r="A45" s="22" t="s">
        <v>249</v>
      </c>
      <c r="B45" s="23" t="s">
        <v>250</v>
      </c>
      <c r="C45" s="22" t="s">
        <v>171</v>
      </c>
      <c r="D45" s="24">
        <f t="shared" si="2"/>
        <v>17</v>
      </c>
      <c r="E45" s="13"/>
      <c r="F45" s="14">
        <f>F44</f>
        <v>14.64</v>
      </c>
      <c r="G45" s="14">
        <f t="shared" si="6"/>
        <v>1.4640000000000002</v>
      </c>
      <c r="H45">
        <f t="shared" si="8"/>
        <v>16.103999999999999</v>
      </c>
    </row>
    <row r="46" spans="1:8" x14ac:dyDescent="0.2">
      <c r="A46" s="22" t="s">
        <v>251</v>
      </c>
      <c r="B46" s="23" t="s">
        <v>252</v>
      </c>
      <c r="C46" s="22" t="s">
        <v>188</v>
      </c>
      <c r="D46" s="24">
        <v>20</v>
      </c>
      <c r="E46" s="13"/>
      <c r="F46" s="14"/>
      <c r="G46" s="14"/>
    </row>
    <row r="47" spans="1:8" x14ac:dyDescent="0.2">
      <c r="A47" s="26" t="s">
        <v>253</v>
      </c>
      <c r="B47" s="27" t="s">
        <v>254</v>
      </c>
      <c r="C47" s="26"/>
      <c r="D47" s="28"/>
      <c r="E47" s="13"/>
      <c r="F47" s="14"/>
      <c r="G47" s="14"/>
    </row>
    <row r="48" spans="1:8" x14ac:dyDescent="0.2">
      <c r="A48" s="31" t="s">
        <v>255</v>
      </c>
      <c r="B48" s="32" t="s">
        <v>256</v>
      </c>
      <c r="C48" s="22" t="s">
        <v>188</v>
      </c>
      <c r="D48" s="24">
        <v>20</v>
      </c>
      <c r="E48" s="13"/>
      <c r="F48" s="14"/>
      <c r="G48" s="14"/>
    </row>
    <row r="49" spans="1:8" x14ac:dyDescent="0.2">
      <c r="A49" s="31" t="s">
        <v>257</v>
      </c>
      <c r="B49" s="32" t="s">
        <v>258</v>
      </c>
      <c r="C49" s="22" t="s">
        <v>188</v>
      </c>
      <c r="D49" s="24">
        <v>25</v>
      </c>
      <c r="E49" s="13"/>
      <c r="F49" s="14"/>
      <c r="G49" s="14"/>
    </row>
    <row r="50" spans="1:8" x14ac:dyDescent="0.2">
      <c r="A50" s="31" t="s">
        <v>259</v>
      </c>
      <c r="B50" s="32" t="s">
        <v>260</v>
      </c>
      <c r="C50" s="22" t="s">
        <v>188</v>
      </c>
      <c r="D50" s="24">
        <v>19</v>
      </c>
      <c r="E50" s="13"/>
      <c r="F50" s="14"/>
      <c r="G50" s="14"/>
    </row>
    <row r="51" spans="1:8" x14ac:dyDescent="0.2">
      <c r="A51" s="31" t="s">
        <v>261</v>
      </c>
      <c r="B51" s="32" t="s">
        <v>262</v>
      </c>
      <c r="C51" s="22" t="s">
        <v>188</v>
      </c>
      <c r="D51" s="24">
        <v>4</v>
      </c>
      <c r="E51" s="13"/>
      <c r="F51" s="14"/>
      <c r="G51" s="14"/>
    </row>
    <row r="52" spans="1:8" x14ac:dyDescent="0.2">
      <c r="A52" s="31" t="s">
        <v>263</v>
      </c>
      <c r="B52" s="32" t="s">
        <v>264</v>
      </c>
      <c r="C52" s="22" t="s">
        <v>188</v>
      </c>
      <c r="D52" s="24">
        <v>3</v>
      </c>
      <c r="E52" s="13"/>
      <c r="F52" s="14"/>
      <c r="G52" s="14"/>
    </row>
    <row r="53" spans="1:8" x14ac:dyDescent="0.2">
      <c r="A53" s="31" t="s">
        <v>265</v>
      </c>
      <c r="B53" s="32" t="s">
        <v>266</v>
      </c>
      <c r="C53" s="22" t="s">
        <v>188</v>
      </c>
      <c r="D53" s="24">
        <v>3</v>
      </c>
      <c r="E53" s="13"/>
      <c r="F53" s="14"/>
      <c r="G53" s="14"/>
    </row>
    <row r="54" spans="1:8" x14ac:dyDescent="0.2">
      <c r="A54" s="31" t="s">
        <v>267</v>
      </c>
      <c r="B54" s="32" t="s">
        <v>268</v>
      </c>
      <c r="C54" s="22" t="s">
        <v>188</v>
      </c>
      <c r="D54" s="24">
        <v>2</v>
      </c>
      <c r="E54" s="13"/>
      <c r="F54" s="14"/>
      <c r="G54" s="14"/>
    </row>
    <row r="55" spans="1:8" x14ac:dyDescent="0.2">
      <c r="A55" s="31" t="s">
        <v>269</v>
      </c>
      <c r="B55" s="32" t="s">
        <v>270</v>
      </c>
      <c r="C55" s="22" t="s">
        <v>188</v>
      </c>
      <c r="D55" s="24">
        <v>2</v>
      </c>
      <c r="E55" s="13"/>
      <c r="F55" s="14"/>
      <c r="G55" s="14"/>
    </row>
    <row r="56" spans="1:8" x14ac:dyDescent="0.2">
      <c r="A56" s="31" t="s">
        <v>271</v>
      </c>
      <c r="B56" s="32" t="s">
        <v>272</v>
      </c>
      <c r="C56" s="22" t="s">
        <v>188</v>
      </c>
      <c r="D56" s="24">
        <v>21</v>
      </c>
      <c r="E56" s="13"/>
      <c r="F56" s="14"/>
      <c r="G56" s="14"/>
    </row>
    <row r="57" spans="1:8" x14ac:dyDescent="0.2">
      <c r="A57" s="31" t="s">
        <v>273</v>
      </c>
      <c r="B57" s="23" t="s">
        <v>274</v>
      </c>
      <c r="C57" s="22" t="s">
        <v>188</v>
      </c>
      <c r="D57" s="24">
        <f>5+168-4-14-2</f>
        <v>153</v>
      </c>
      <c r="E57" s="13"/>
      <c r="F57" s="14"/>
      <c r="G57" s="14"/>
    </row>
    <row r="58" spans="1:8" x14ac:dyDescent="0.2">
      <c r="A58" s="31" t="s">
        <v>275</v>
      </c>
      <c r="B58" s="23" t="s">
        <v>276</v>
      </c>
      <c r="C58" s="22" t="s">
        <v>188</v>
      </c>
      <c r="D58" s="24">
        <f>2+2</f>
        <v>4</v>
      </c>
      <c r="E58" s="13"/>
      <c r="F58" s="14"/>
      <c r="G58" s="14"/>
    </row>
    <row r="59" spans="1:8" x14ac:dyDescent="0.2">
      <c r="A59" s="31" t="s">
        <v>277</v>
      </c>
      <c r="B59" s="23" t="s">
        <v>278</v>
      </c>
      <c r="C59" s="22" t="s">
        <v>188</v>
      </c>
      <c r="D59" s="24">
        <v>7</v>
      </c>
      <c r="E59" s="13"/>
      <c r="F59" s="14">
        <f>2+1+4</f>
        <v>7</v>
      </c>
      <c r="G59" s="14"/>
    </row>
    <row r="60" spans="1:8" x14ac:dyDescent="0.2">
      <c r="A60" s="31" t="s">
        <v>279</v>
      </c>
      <c r="B60" s="23" t="s">
        <v>280</v>
      </c>
      <c r="C60" s="22" t="s">
        <v>188</v>
      </c>
      <c r="D60" s="24">
        <v>1</v>
      </c>
      <c r="E60" s="13"/>
      <c r="F60" s="14">
        <f>1</f>
        <v>1</v>
      </c>
      <c r="G60" s="14"/>
    </row>
    <row r="61" spans="1:8" x14ac:dyDescent="0.2">
      <c r="A61" s="31" t="s">
        <v>281</v>
      </c>
      <c r="B61" s="23" t="s">
        <v>282</v>
      </c>
      <c r="C61" s="22" t="s">
        <v>188</v>
      </c>
      <c r="D61" s="24">
        <f>3+4</f>
        <v>7</v>
      </c>
      <c r="E61" s="13"/>
      <c r="F61" s="14"/>
      <c r="G61" s="14"/>
    </row>
    <row r="62" spans="1:8" ht="25.5" x14ac:dyDescent="0.2">
      <c r="A62" s="31" t="s">
        <v>283</v>
      </c>
      <c r="B62" s="23" t="s">
        <v>284</v>
      </c>
      <c r="C62" s="22" t="s">
        <v>188</v>
      </c>
      <c r="D62" s="24">
        <v>202</v>
      </c>
      <c r="E62" s="13"/>
      <c r="F62" s="14"/>
      <c r="G62" s="14"/>
    </row>
    <row r="63" spans="1:8" ht="25.5" x14ac:dyDescent="0.2">
      <c r="A63" s="31" t="s">
        <v>285</v>
      </c>
      <c r="B63" s="23" t="s">
        <v>286</v>
      </c>
      <c r="C63" s="22" t="s">
        <v>188</v>
      </c>
      <c r="D63" s="24">
        <v>40</v>
      </c>
      <c r="E63" s="13"/>
      <c r="F63" s="14"/>
      <c r="G63" s="14"/>
      <c r="H63" s="25"/>
    </row>
    <row r="64" spans="1:8" x14ac:dyDescent="0.2">
      <c r="A64" s="31" t="s">
        <v>287</v>
      </c>
      <c r="B64" s="23" t="s">
        <v>288</v>
      </c>
      <c r="C64" s="22" t="s">
        <v>188</v>
      </c>
      <c r="D64" s="24">
        <v>10</v>
      </c>
      <c r="E64" s="13"/>
      <c r="F64" s="14"/>
      <c r="G64" s="14"/>
      <c r="H64" s="25"/>
    </row>
    <row r="65" spans="1:13" x14ac:dyDescent="0.2">
      <c r="A65" s="31" t="s">
        <v>289</v>
      </c>
      <c r="B65" s="23" t="s">
        <v>290</v>
      </c>
      <c r="C65" s="22" t="s">
        <v>188</v>
      </c>
      <c r="D65" s="24">
        <v>10</v>
      </c>
      <c r="E65" s="13"/>
      <c r="F65" s="14"/>
      <c r="G65" s="14"/>
      <c r="H65" s="25"/>
    </row>
    <row r="66" spans="1:13" ht="25.5" x14ac:dyDescent="0.2">
      <c r="A66" s="31" t="s">
        <v>291</v>
      </c>
      <c r="B66" s="23" t="s">
        <v>292</v>
      </c>
      <c r="C66" s="22" t="s">
        <v>188</v>
      </c>
      <c r="D66" s="24">
        <v>1</v>
      </c>
      <c r="E66" s="13"/>
      <c r="F66" s="14"/>
      <c r="G66" s="14"/>
      <c r="H66" s="25"/>
    </row>
    <row r="67" spans="1:13" x14ac:dyDescent="0.2">
      <c r="A67" s="31" t="s">
        <v>293</v>
      </c>
      <c r="B67" s="23" t="s">
        <v>294</v>
      </c>
      <c r="C67" s="22" t="s">
        <v>171</v>
      </c>
      <c r="D67" s="24">
        <f>3.5*2</f>
        <v>7</v>
      </c>
      <c r="E67" s="13"/>
      <c r="F67" s="14"/>
      <c r="G67" s="14"/>
    </row>
    <row r="68" spans="1:13" ht="25.5" x14ac:dyDescent="0.2">
      <c r="A68" s="31" t="s">
        <v>295</v>
      </c>
      <c r="B68" s="23" t="s">
        <v>296</v>
      </c>
      <c r="C68" s="22" t="s">
        <v>188</v>
      </c>
      <c r="D68" s="24">
        <v>6</v>
      </c>
      <c r="E68" s="14"/>
      <c r="F68" s="14"/>
      <c r="G68" s="14"/>
    </row>
    <row r="69" spans="1:13" x14ac:dyDescent="0.2">
      <c r="A69" s="26" t="s">
        <v>297</v>
      </c>
      <c r="B69" s="27" t="s">
        <v>298</v>
      </c>
      <c r="C69" s="26"/>
      <c r="D69" s="28"/>
      <c r="F69" s="33" t="s">
        <v>299</v>
      </c>
      <c r="G69" s="33" t="s">
        <v>300</v>
      </c>
      <c r="H69" s="33" t="s">
        <v>301</v>
      </c>
      <c r="I69" s="33" t="s">
        <v>302</v>
      </c>
      <c r="J69" s="33" t="s">
        <v>303</v>
      </c>
      <c r="K69" s="33" t="s">
        <v>304</v>
      </c>
      <c r="L69" s="33" t="s">
        <v>305</v>
      </c>
      <c r="M69" s="34" t="s">
        <v>306</v>
      </c>
    </row>
    <row r="70" spans="1:13" ht="25.5" x14ac:dyDescent="0.2">
      <c r="A70" s="31" t="s">
        <v>307</v>
      </c>
      <c r="B70" s="23" t="s">
        <v>308</v>
      </c>
      <c r="C70" s="22" t="s">
        <v>188</v>
      </c>
      <c r="D70" s="24">
        <f>1+4</f>
        <v>5</v>
      </c>
      <c r="F70" s="33">
        <v>1</v>
      </c>
      <c r="G70" s="33"/>
      <c r="H70" s="33"/>
      <c r="I70" s="33"/>
      <c r="J70" s="33"/>
      <c r="K70" s="33"/>
      <c r="L70" s="33"/>
      <c r="M70">
        <f>SUM(F70:L70)</f>
        <v>1</v>
      </c>
    </row>
    <row r="71" spans="1:13" ht="25.5" x14ac:dyDescent="0.2">
      <c r="A71" s="31" t="s">
        <v>309</v>
      </c>
      <c r="B71" s="23" t="s">
        <v>310</v>
      </c>
      <c r="C71" s="22" t="s">
        <v>188</v>
      </c>
      <c r="D71" s="24">
        <v>2</v>
      </c>
      <c r="F71" s="33"/>
      <c r="G71" s="33"/>
      <c r="H71" s="33"/>
      <c r="I71" s="33"/>
      <c r="J71" s="33"/>
      <c r="K71" s="33">
        <v>1</v>
      </c>
      <c r="L71" s="33">
        <v>1</v>
      </c>
      <c r="M71">
        <f t="shared" ref="M71:M84" si="9">SUM(F71:L71)</f>
        <v>2</v>
      </c>
    </row>
    <row r="72" spans="1:13" ht="38.25" x14ac:dyDescent="0.2">
      <c r="A72" s="31" t="s">
        <v>311</v>
      </c>
      <c r="B72" s="23" t="s">
        <v>312</v>
      </c>
      <c r="C72" s="22" t="s">
        <v>188</v>
      </c>
      <c r="D72" s="24">
        <v>28</v>
      </c>
      <c r="F72" s="33">
        <v>4</v>
      </c>
      <c r="G72" s="33">
        <v>4</v>
      </c>
      <c r="H72" s="33">
        <v>4</v>
      </c>
      <c r="I72" s="33">
        <v>4</v>
      </c>
      <c r="J72" s="33">
        <v>4</v>
      </c>
      <c r="K72" s="33">
        <v>4</v>
      </c>
      <c r="L72" s="33">
        <v>4</v>
      </c>
      <c r="M72">
        <f t="shared" si="9"/>
        <v>28</v>
      </c>
    </row>
    <row r="73" spans="1:13" x14ac:dyDescent="0.2">
      <c r="A73" s="31" t="s">
        <v>313</v>
      </c>
      <c r="B73" s="23" t="s">
        <v>314</v>
      </c>
      <c r="C73" s="22" t="s">
        <v>188</v>
      </c>
      <c r="D73" s="24">
        <v>1</v>
      </c>
      <c r="F73" s="33"/>
      <c r="G73" s="33"/>
      <c r="H73" s="33"/>
      <c r="I73" s="33"/>
      <c r="J73" s="33"/>
      <c r="K73" s="33">
        <v>1</v>
      </c>
      <c r="L73" s="33"/>
      <c r="M73">
        <f t="shared" si="9"/>
        <v>1</v>
      </c>
    </row>
    <row r="74" spans="1:13" x14ac:dyDescent="0.2">
      <c r="A74" s="31" t="s">
        <v>315</v>
      </c>
      <c r="B74" s="23" t="s">
        <v>316</v>
      </c>
      <c r="C74" s="22" t="s">
        <v>188</v>
      </c>
      <c r="D74" s="24">
        <v>2</v>
      </c>
      <c r="F74" s="33"/>
      <c r="G74" s="33"/>
      <c r="H74" s="33">
        <v>1</v>
      </c>
      <c r="I74" s="33">
        <v>1</v>
      </c>
      <c r="J74" s="33"/>
      <c r="K74" s="33"/>
      <c r="L74" s="33"/>
      <c r="M74">
        <f t="shared" si="9"/>
        <v>2</v>
      </c>
    </row>
    <row r="75" spans="1:13" x14ac:dyDescent="0.2">
      <c r="A75" s="31" t="s">
        <v>317</v>
      </c>
      <c r="B75" s="23" t="s">
        <v>318</v>
      </c>
      <c r="C75" s="22" t="s">
        <v>188</v>
      </c>
      <c r="D75" s="24">
        <v>15</v>
      </c>
      <c r="F75" s="33">
        <v>1</v>
      </c>
      <c r="G75" s="33">
        <v>1</v>
      </c>
      <c r="H75" s="33">
        <v>3</v>
      </c>
      <c r="I75" s="33">
        <v>2</v>
      </c>
      <c r="J75" s="33">
        <v>6</v>
      </c>
      <c r="K75" s="33">
        <v>1</v>
      </c>
      <c r="L75" s="33">
        <v>1</v>
      </c>
      <c r="M75">
        <f t="shared" si="9"/>
        <v>15</v>
      </c>
    </row>
    <row r="76" spans="1:13" x14ac:dyDescent="0.2">
      <c r="A76" s="31" t="s">
        <v>319</v>
      </c>
      <c r="B76" s="23" t="s">
        <v>320</v>
      </c>
      <c r="C76" s="22" t="s">
        <v>188</v>
      </c>
      <c r="D76" s="24">
        <v>1</v>
      </c>
      <c r="F76" s="33">
        <v>1</v>
      </c>
      <c r="G76" s="33"/>
      <c r="H76" s="33"/>
      <c r="I76" s="33"/>
      <c r="J76" s="33"/>
      <c r="K76" s="33"/>
      <c r="L76" s="33"/>
      <c r="M76">
        <f t="shared" si="9"/>
        <v>1</v>
      </c>
    </row>
    <row r="77" spans="1:13" x14ac:dyDescent="0.2">
      <c r="A77" s="31" t="s">
        <v>321</v>
      </c>
      <c r="B77" s="23" t="s">
        <v>322</v>
      </c>
      <c r="C77" s="22" t="s">
        <v>188</v>
      </c>
      <c r="D77" s="24">
        <v>2</v>
      </c>
      <c r="F77" s="33">
        <v>1</v>
      </c>
      <c r="G77" s="33">
        <v>1</v>
      </c>
      <c r="H77" s="33"/>
      <c r="I77" s="33"/>
      <c r="J77" s="33"/>
      <c r="K77" s="33"/>
      <c r="L77" s="33"/>
      <c r="M77">
        <f t="shared" si="9"/>
        <v>2</v>
      </c>
    </row>
    <row r="78" spans="1:13" x14ac:dyDescent="0.2">
      <c r="A78" s="31" t="s">
        <v>323</v>
      </c>
      <c r="B78" s="23" t="s">
        <v>324</v>
      </c>
      <c r="C78" s="22" t="s">
        <v>188</v>
      </c>
      <c r="D78" s="24">
        <v>4</v>
      </c>
      <c r="F78" s="33">
        <v>1</v>
      </c>
      <c r="G78" s="33">
        <v>1</v>
      </c>
      <c r="H78" s="33">
        <v>1</v>
      </c>
      <c r="I78" s="33">
        <v>1</v>
      </c>
      <c r="J78" s="33"/>
      <c r="K78" s="33"/>
      <c r="L78" s="33"/>
      <c r="M78">
        <f t="shared" si="9"/>
        <v>4</v>
      </c>
    </row>
    <row r="79" spans="1:13" x14ac:dyDescent="0.2">
      <c r="A79" s="31" t="s">
        <v>325</v>
      </c>
      <c r="B79" s="23" t="s">
        <v>326</v>
      </c>
      <c r="C79" s="22" t="s">
        <v>188</v>
      </c>
      <c r="D79" s="24">
        <v>2</v>
      </c>
      <c r="F79" s="33"/>
      <c r="G79" s="33"/>
      <c r="H79" s="33">
        <v>1</v>
      </c>
      <c r="I79" s="33">
        <v>1</v>
      </c>
      <c r="J79" s="33"/>
      <c r="K79" s="33"/>
      <c r="L79" s="33"/>
      <c r="M79">
        <f t="shared" si="9"/>
        <v>2</v>
      </c>
    </row>
    <row r="80" spans="1:13" x14ac:dyDescent="0.2">
      <c r="A80" s="31" t="s">
        <v>327</v>
      </c>
      <c r="B80" s="23" t="s">
        <v>328</v>
      </c>
      <c r="C80" s="22" t="s">
        <v>188</v>
      </c>
      <c r="D80" s="24">
        <v>2</v>
      </c>
      <c r="F80" s="33">
        <v>1</v>
      </c>
      <c r="G80" s="33"/>
      <c r="H80" s="33"/>
      <c r="I80" s="33"/>
      <c r="J80" s="33"/>
      <c r="K80" s="33"/>
      <c r="L80" s="33">
        <v>1</v>
      </c>
      <c r="M80">
        <f t="shared" si="9"/>
        <v>2</v>
      </c>
    </row>
    <row r="81" spans="1:13" x14ac:dyDescent="0.2">
      <c r="A81" s="31" t="s">
        <v>329</v>
      </c>
      <c r="B81" s="23" t="s">
        <v>330</v>
      </c>
      <c r="C81" s="22" t="s">
        <v>188</v>
      </c>
      <c r="D81" s="24">
        <v>1</v>
      </c>
      <c r="F81" s="33">
        <v>1</v>
      </c>
      <c r="G81" s="33"/>
      <c r="H81" s="33"/>
      <c r="I81" s="33"/>
      <c r="J81" s="33"/>
      <c r="K81" s="33"/>
      <c r="L81" s="33"/>
      <c r="M81">
        <f t="shared" si="9"/>
        <v>1</v>
      </c>
    </row>
    <row r="82" spans="1:13" x14ac:dyDescent="0.2">
      <c r="A82" s="31" t="s">
        <v>331</v>
      </c>
      <c r="B82" s="23" t="s">
        <v>332</v>
      </c>
      <c r="C82" s="22" t="s">
        <v>188</v>
      </c>
      <c r="D82" s="24">
        <v>7</v>
      </c>
      <c r="F82" s="33">
        <v>2</v>
      </c>
      <c r="G82" s="33">
        <v>2</v>
      </c>
      <c r="H82" s="33"/>
      <c r="I82" s="33">
        <v>1</v>
      </c>
      <c r="J82" s="33"/>
      <c r="K82" s="33">
        <v>1</v>
      </c>
      <c r="L82" s="33">
        <v>1</v>
      </c>
      <c r="M82">
        <f t="shared" si="9"/>
        <v>7</v>
      </c>
    </row>
    <row r="83" spans="1:13" x14ac:dyDescent="0.2">
      <c r="A83" s="31" t="s">
        <v>333</v>
      </c>
      <c r="B83" s="23" t="s">
        <v>334</v>
      </c>
      <c r="C83" s="22" t="s">
        <v>188</v>
      </c>
      <c r="D83" s="24">
        <v>34</v>
      </c>
      <c r="F83" s="33">
        <v>6</v>
      </c>
      <c r="G83" s="33">
        <v>5</v>
      </c>
      <c r="H83" s="33">
        <v>6</v>
      </c>
      <c r="I83" s="33">
        <v>4</v>
      </c>
      <c r="J83" s="33">
        <v>7</v>
      </c>
      <c r="K83" s="33">
        <v>4</v>
      </c>
      <c r="L83" s="33">
        <v>2</v>
      </c>
      <c r="M83">
        <f t="shared" si="9"/>
        <v>34</v>
      </c>
    </row>
    <row r="84" spans="1:13" x14ac:dyDescent="0.2">
      <c r="A84" s="31" t="s">
        <v>335</v>
      </c>
      <c r="B84" s="23" t="s">
        <v>336</v>
      </c>
      <c r="C84" s="22" t="s">
        <v>188</v>
      </c>
      <c r="D84" s="24">
        <v>2</v>
      </c>
      <c r="F84" s="33"/>
      <c r="G84" s="33">
        <v>1</v>
      </c>
      <c r="H84" s="33">
        <v>1</v>
      </c>
      <c r="I84" s="33"/>
      <c r="J84" s="33"/>
      <c r="K84" s="33"/>
      <c r="L84" s="33"/>
      <c r="M84">
        <f t="shared" si="9"/>
        <v>2</v>
      </c>
    </row>
    <row r="85" spans="1:13" x14ac:dyDescent="0.2">
      <c r="A85" s="31" t="s">
        <v>337</v>
      </c>
      <c r="B85" s="23" t="s">
        <v>338</v>
      </c>
      <c r="C85" s="22" t="s">
        <v>188</v>
      </c>
      <c r="D85" s="24">
        <v>1</v>
      </c>
    </row>
    <row r="86" spans="1:13" x14ac:dyDescent="0.2">
      <c r="A86" s="31" t="s">
        <v>339</v>
      </c>
      <c r="B86" s="23" t="s">
        <v>340</v>
      </c>
      <c r="C86" s="22" t="s">
        <v>188</v>
      </c>
      <c r="D86" s="24">
        <v>2</v>
      </c>
    </row>
    <row r="87" spans="1:13" x14ac:dyDescent="0.2">
      <c r="A87" s="31" t="s">
        <v>341</v>
      </c>
      <c r="B87" s="23" t="s">
        <v>342</v>
      </c>
      <c r="C87" s="22" t="s">
        <v>188</v>
      </c>
      <c r="D87" s="24">
        <f>4*5</f>
        <v>20</v>
      </c>
    </row>
    <row r="88" spans="1:13" x14ac:dyDescent="0.2">
      <c r="A88" s="31" t="s">
        <v>343</v>
      </c>
      <c r="B88" s="23" t="s">
        <v>344</v>
      </c>
      <c r="C88" s="22" t="s">
        <v>188</v>
      </c>
      <c r="D88" s="24">
        <f>5*5</f>
        <v>25</v>
      </c>
    </row>
    <row r="89" spans="1:13" x14ac:dyDescent="0.2">
      <c r="A89" s="31" t="s">
        <v>345</v>
      </c>
      <c r="B89" s="23" t="s">
        <v>346</v>
      </c>
      <c r="C89" s="22" t="s">
        <v>188</v>
      </c>
      <c r="D89" s="24">
        <v>5</v>
      </c>
    </row>
    <row r="90" spans="1:13" x14ac:dyDescent="0.2">
      <c r="A90" s="31" t="s">
        <v>347</v>
      </c>
      <c r="B90" s="23" t="s">
        <v>348</v>
      </c>
      <c r="C90" s="22" t="s">
        <v>188</v>
      </c>
      <c r="D90" s="24">
        <v>10</v>
      </c>
    </row>
    <row r="91" spans="1:13" x14ac:dyDescent="0.2">
      <c r="A91" s="31" t="s">
        <v>349</v>
      </c>
      <c r="B91" s="23" t="s">
        <v>350</v>
      </c>
      <c r="C91" s="22" t="s">
        <v>188</v>
      </c>
      <c r="D91" s="24">
        <v>10</v>
      </c>
    </row>
    <row r="92" spans="1:13" x14ac:dyDescent="0.2">
      <c r="A92" s="31" t="s">
        <v>351</v>
      </c>
      <c r="B92" s="23" t="s">
        <v>352</v>
      </c>
      <c r="C92" s="22" t="s">
        <v>188</v>
      </c>
      <c r="D92" s="24">
        <f>10+4+6</f>
        <v>20</v>
      </c>
    </row>
    <row r="93" spans="1:13" x14ac:dyDescent="0.2">
      <c r="A93" s="35">
        <v>2</v>
      </c>
      <c r="B93" s="36" t="s">
        <v>353</v>
      </c>
      <c r="C93" s="36"/>
      <c r="D93" s="36"/>
      <c r="E93" s="37"/>
      <c r="F93" s="38" t="s">
        <v>354</v>
      </c>
      <c r="G93" s="38" t="s">
        <v>355</v>
      </c>
      <c r="H93" s="38" t="s">
        <v>356</v>
      </c>
      <c r="I93" s="38" t="s">
        <v>306</v>
      </c>
    </row>
    <row r="94" spans="1:13" x14ac:dyDescent="0.2">
      <c r="A94" s="31" t="s">
        <v>104</v>
      </c>
      <c r="B94" s="23" t="s">
        <v>357</v>
      </c>
      <c r="C94" s="22" t="s">
        <v>188</v>
      </c>
      <c r="D94" s="24">
        <v>1</v>
      </c>
      <c r="E94" s="37"/>
      <c r="I94">
        <f>SUM(F94:H94)</f>
        <v>0</v>
      </c>
    </row>
    <row r="95" spans="1:13" x14ac:dyDescent="0.2">
      <c r="A95" s="31" t="s">
        <v>105</v>
      </c>
      <c r="B95" s="23" t="s">
        <v>358</v>
      </c>
      <c r="C95" s="22" t="s">
        <v>188</v>
      </c>
      <c r="D95" s="24">
        <v>1</v>
      </c>
      <c r="E95" s="37"/>
      <c r="I95">
        <f t="shared" ref="I95:I113" si="10">SUM(F95:H95)</f>
        <v>0</v>
      </c>
    </row>
    <row r="96" spans="1:13" x14ac:dyDescent="0.2">
      <c r="A96" s="31" t="s">
        <v>106</v>
      </c>
      <c r="B96" s="23" t="s">
        <v>359</v>
      </c>
      <c r="C96" s="22" t="s">
        <v>188</v>
      </c>
      <c r="D96" s="24">
        <v>2</v>
      </c>
      <c r="E96" s="37"/>
      <c r="I96">
        <f t="shared" si="10"/>
        <v>0</v>
      </c>
    </row>
    <row r="97" spans="1:14" x14ac:dyDescent="0.2">
      <c r="A97" s="31" t="s">
        <v>107</v>
      </c>
      <c r="B97" s="23" t="s">
        <v>360</v>
      </c>
      <c r="C97" s="22" t="s">
        <v>188</v>
      </c>
      <c r="D97" s="24">
        <f t="shared" ref="D97:D102" si="11">I97</f>
        <v>3</v>
      </c>
      <c r="E97" s="37"/>
      <c r="F97">
        <v>1</v>
      </c>
      <c r="G97">
        <v>1</v>
      </c>
      <c r="H97">
        <v>1</v>
      </c>
      <c r="I97">
        <f t="shared" si="10"/>
        <v>3</v>
      </c>
    </row>
    <row r="98" spans="1:14" x14ac:dyDescent="0.2">
      <c r="A98" s="31" t="s">
        <v>108</v>
      </c>
      <c r="B98" s="23" t="s">
        <v>361</v>
      </c>
      <c r="C98" s="22" t="s">
        <v>188</v>
      </c>
      <c r="D98" s="24">
        <f t="shared" si="11"/>
        <v>1</v>
      </c>
      <c r="E98" s="37"/>
      <c r="F98">
        <v>1</v>
      </c>
      <c r="I98">
        <f t="shared" si="10"/>
        <v>1</v>
      </c>
    </row>
    <row r="99" spans="1:14" x14ac:dyDescent="0.2">
      <c r="A99" s="31" t="s">
        <v>109</v>
      </c>
      <c r="B99" s="23" t="s">
        <v>362</v>
      </c>
      <c r="C99" s="22" t="s">
        <v>188</v>
      </c>
      <c r="D99" s="24">
        <f t="shared" si="11"/>
        <v>2</v>
      </c>
      <c r="E99" s="37"/>
      <c r="G99">
        <v>1</v>
      </c>
      <c r="H99">
        <v>1</v>
      </c>
      <c r="I99">
        <f t="shared" si="10"/>
        <v>2</v>
      </c>
    </row>
    <row r="100" spans="1:14" x14ac:dyDescent="0.2">
      <c r="A100" s="31" t="s">
        <v>110</v>
      </c>
      <c r="B100" s="23" t="s">
        <v>363</v>
      </c>
      <c r="C100" s="22" t="s">
        <v>188</v>
      </c>
      <c r="D100" s="24">
        <f t="shared" si="11"/>
        <v>1</v>
      </c>
      <c r="E100" s="37"/>
      <c r="F100">
        <v>1</v>
      </c>
      <c r="I100">
        <f t="shared" si="10"/>
        <v>1</v>
      </c>
    </row>
    <row r="101" spans="1:14" x14ac:dyDescent="0.2">
      <c r="A101" s="31" t="s">
        <v>111</v>
      </c>
      <c r="B101" s="23" t="s">
        <v>364</v>
      </c>
      <c r="C101" s="22" t="s">
        <v>188</v>
      </c>
      <c r="D101" s="24">
        <f t="shared" si="11"/>
        <v>2</v>
      </c>
      <c r="E101" s="37"/>
      <c r="G101">
        <v>1</v>
      </c>
      <c r="H101">
        <v>1</v>
      </c>
      <c r="I101">
        <f t="shared" si="10"/>
        <v>2</v>
      </c>
    </row>
    <row r="102" spans="1:14" x14ac:dyDescent="0.2">
      <c r="A102" s="31" t="s">
        <v>365</v>
      </c>
      <c r="B102" s="23" t="s">
        <v>366</v>
      </c>
      <c r="C102" s="22" t="s">
        <v>188</v>
      </c>
      <c r="D102" s="24">
        <f t="shared" si="11"/>
        <v>3</v>
      </c>
      <c r="E102" s="37"/>
      <c r="F102">
        <v>1</v>
      </c>
      <c r="G102">
        <v>1</v>
      </c>
      <c r="H102">
        <v>1</v>
      </c>
      <c r="I102">
        <f t="shared" si="10"/>
        <v>3</v>
      </c>
    </row>
    <row r="103" spans="1:14" x14ac:dyDescent="0.2">
      <c r="A103" s="31" t="s">
        <v>367</v>
      </c>
      <c r="B103" s="23" t="s">
        <v>368</v>
      </c>
      <c r="C103" s="22" t="s">
        <v>188</v>
      </c>
      <c r="D103" s="24">
        <f>5*3</f>
        <v>15</v>
      </c>
      <c r="E103" s="37"/>
    </row>
    <row r="104" spans="1:14" x14ac:dyDescent="0.2">
      <c r="A104" s="31" t="s">
        <v>369</v>
      </c>
      <c r="B104" s="23" t="s">
        <v>370</v>
      </c>
      <c r="C104" s="22" t="s">
        <v>188</v>
      </c>
      <c r="D104" s="24">
        <f>I104</f>
        <v>15</v>
      </c>
      <c r="E104" s="37"/>
      <c r="F104">
        <v>3</v>
      </c>
      <c r="G104">
        <v>5</v>
      </c>
      <c r="H104">
        <v>7</v>
      </c>
      <c r="I104">
        <f t="shared" si="10"/>
        <v>15</v>
      </c>
    </row>
    <row r="105" spans="1:14" x14ac:dyDescent="0.2">
      <c r="A105" s="31" t="s">
        <v>371</v>
      </c>
      <c r="B105" s="23" t="s">
        <v>372</v>
      </c>
      <c r="C105" s="22" t="s">
        <v>188</v>
      </c>
      <c r="D105" s="24">
        <f>I105</f>
        <v>17</v>
      </c>
      <c r="E105" s="37"/>
      <c r="G105">
        <v>9</v>
      </c>
      <c r="H105">
        <v>8</v>
      </c>
      <c r="I105">
        <f t="shared" si="10"/>
        <v>17</v>
      </c>
    </row>
    <row r="106" spans="1:14" x14ac:dyDescent="0.2">
      <c r="A106" s="31" t="s">
        <v>373</v>
      </c>
      <c r="B106" s="23" t="s">
        <v>374</v>
      </c>
      <c r="C106" s="22" t="s">
        <v>188</v>
      </c>
      <c r="D106" s="24">
        <v>53</v>
      </c>
      <c r="E106" s="37"/>
      <c r="I106">
        <f t="shared" si="10"/>
        <v>0</v>
      </c>
    </row>
    <row r="107" spans="1:14" x14ac:dyDescent="0.2">
      <c r="A107" s="31" t="s">
        <v>375</v>
      </c>
      <c r="B107" s="23" t="s">
        <v>376</v>
      </c>
      <c r="C107" s="22" t="s">
        <v>188</v>
      </c>
      <c r="D107" s="24">
        <v>39</v>
      </c>
      <c r="E107" s="37"/>
    </row>
    <row r="108" spans="1:14" x14ac:dyDescent="0.2">
      <c r="A108" s="31" t="s">
        <v>377</v>
      </c>
      <c r="B108" s="23" t="s">
        <v>378</v>
      </c>
      <c r="C108" s="22" t="s">
        <v>188</v>
      </c>
      <c r="D108" s="24">
        <v>21</v>
      </c>
      <c r="E108" s="37"/>
      <c r="F108">
        <v>9</v>
      </c>
      <c r="G108">
        <v>8</v>
      </c>
      <c r="H108">
        <v>4</v>
      </c>
      <c r="I108">
        <f t="shared" si="10"/>
        <v>21</v>
      </c>
    </row>
    <row r="109" spans="1:14" x14ac:dyDescent="0.2">
      <c r="A109" s="31" t="s">
        <v>379</v>
      </c>
      <c r="B109" s="23" t="s">
        <v>187</v>
      </c>
      <c r="C109" s="22" t="s">
        <v>188</v>
      </c>
      <c r="D109" s="24">
        <v>20</v>
      </c>
      <c r="E109" s="37"/>
      <c r="F109">
        <f>F108</f>
        <v>9</v>
      </c>
      <c r="G109">
        <f t="shared" ref="G109:H109" si="12">G108</f>
        <v>8</v>
      </c>
      <c r="H109">
        <f t="shared" si="12"/>
        <v>4</v>
      </c>
      <c r="I109">
        <f t="shared" si="10"/>
        <v>21</v>
      </c>
    </row>
    <row r="110" spans="1:14" x14ac:dyDescent="0.2">
      <c r="A110" s="31" t="s">
        <v>380</v>
      </c>
      <c r="B110" s="23" t="s">
        <v>381</v>
      </c>
      <c r="C110" s="22" t="s">
        <v>188</v>
      </c>
      <c r="D110" s="24">
        <v>28</v>
      </c>
      <c r="E110" s="37"/>
      <c r="F110">
        <v>3</v>
      </c>
      <c r="G110">
        <v>15</v>
      </c>
      <c r="H110">
        <v>10</v>
      </c>
      <c r="I110">
        <f t="shared" si="10"/>
        <v>28</v>
      </c>
    </row>
    <row r="111" spans="1:14" x14ac:dyDescent="0.2">
      <c r="A111" s="31" t="s">
        <v>382</v>
      </c>
      <c r="B111" s="23" t="s">
        <v>383</v>
      </c>
      <c r="C111" s="22" t="s">
        <v>188</v>
      </c>
      <c r="D111" s="24">
        <f>24+37+31</f>
        <v>92</v>
      </c>
      <c r="E111" s="37"/>
      <c r="I111">
        <f t="shared" si="10"/>
        <v>0</v>
      </c>
      <c r="K111" s="39" t="s">
        <v>384</v>
      </c>
      <c r="L111" s="39">
        <f>2.3+0.3+0.3+1.6+1+1</f>
        <v>6.5</v>
      </c>
      <c r="M111" s="33">
        <f>L111*0.1</f>
        <v>0.65</v>
      </c>
      <c r="N111" s="33">
        <f>SUM(L111:M111)</f>
        <v>7.15</v>
      </c>
    </row>
    <row r="112" spans="1:14" x14ac:dyDescent="0.2">
      <c r="A112" s="31" t="s">
        <v>385</v>
      </c>
      <c r="B112" s="23" t="s">
        <v>386</v>
      </c>
      <c r="C112" s="22" t="s">
        <v>171</v>
      </c>
      <c r="D112" s="24">
        <v>672</v>
      </c>
      <c r="E112" s="37"/>
      <c r="I112">
        <f t="shared" si="10"/>
        <v>0</v>
      </c>
      <c r="K112" s="39" t="s">
        <v>387</v>
      </c>
      <c r="L112" s="39">
        <f>12.34+1.6+1+1+2.3</f>
        <v>18.239999999999998</v>
      </c>
      <c r="M112" s="33">
        <f t="shared" ref="M112:M137" si="13">L112*0.1</f>
        <v>1.8239999999999998</v>
      </c>
      <c r="N112" s="33">
        <f t="shared" ref="N112:N137" si="14">SUM(L112:M112)</f>
        <v>20.064</v>
      </c>
    </row>
    <row r="113" spans="1:14" x14ac:dyDescent="0.2">
      <c r="A113" s="31" t="s">
        <v>388</v>
      </c>
      <c r="B113" s="23" t="s">
        <v>389</v>
      </c>
      <c r="C113" s="22" t="s">
        <v>171</v>
      </c>
      <c r="D113" s="24">
        <f>571+840+582</f>
        <v>1993</v>
      </c>
      <c r="E113" s="37"/>
      <c r="I113">
        <f t="shared" si="10"/>
        <v>0</v>
      </c>
      <c r="K113" s="39" t="s">
        <v>390</v>
      </c>
      <c r="L113" s="39">
        <f>2.16+L112</f>
        <v>20.399999999999999</v>
      </c>
      <c r="M113" s="33">
        <f t="shared" si="13"/>
        <v>2.04</v>
      </c>
      <c r="N113" s="33">
        <f t="shared" si="14"/>
        <v>22.439999999999998</v>
      </c>
    </row>
    <row r="114" spans="1:14" x14ac:dyDescent="0.2">
      <c r="A114" s="31" t="s">
        <v>391</v>
      </c>
      <c r="B114" s="23" t="s">
        <v>392</v>
      </c>
      <c r="C114" s="22" t="s">
        <v>188</v>
      </c>
      <c r="D114" s="24">
        <v>28</v>
      </c>
      <c r="E114" s="37"/>
      <c r="K114" s="39" t="s">
        <v>393</v>
      </c>
      <c r="L114" s="39">
        <f>27.37+2.3+1+1+1.6+0.3+0.3</f>
        <v>33.869999999999997</v>
      </c>
      <c r="M114" s="33">
        <f t="shared" si="13"/>
        <v>3.387</v>
      </c>
      <c r="N114" s="33">
        <f t="shared" si="14"/>
        <v>37.256999999999998</v>
      </c>
    </row>
    <row r="115" spans="1:14" x14ac:dyDescent="0.2">
      <c r="A115" s="31" t="s">
        <v>394</v>
      </c>
      <c r="B115" s="23" t="s">
        <v>395</v>
      </c>
      <c r="C115" s="22" t="s">
        <v>188</v>
      </c>
      <c r="D115" s="24">
        <v>28</v>
      </c>
      <c r="E115" s="37"/>
      <c r="K115" s="39" t="s">
        <v>396</v>
      </c>
      <c r="L115" s="39">
        <f>L114</f>
        <v>33.869999999999997</v>
      </c>
      <c r="M115" s="33">
        <f t="shared" si="13"/>
        <v>3.387</v>
      </c>
      <c r="N115" s="33">
        <f t="shared" si="14"/>
        <v>37.256999999999998</v>
      </c>
    </row>
    <row r="116" spans="1:14" x14ac:dyDescent="0.2">
      <c r="A116" s="31" t="s">
        <v>397</v>
      </c>
      <c r="B116" s="23" t="s">
        <v>398</v>
      </c>
      <c r="C116" s="22" t="s">
        <v>188</v>
      </c>
      <c r="D116" s="24">
        <v>28</v>
      </c>
      <c r="E116" s="37"/>
      <c r="K116" s="39" t="s">
        <v>399</v>
      </c>
      <c r="L116" s="39">
        <f>1.51+L114</f>
        <v>35.379999999999995</v>
      </c>
      <c r="M116" s="33">
        <f t="shared" si="13"/>
        <v>3.5379999999999998</v>
      </c>
      <c r="N116" s="33">
        <f t="shared" si="14"/>
        <v>38.917999999999992</v>
      </c>
    </row>
    <row r="117" spans="1:14" ht="25.5" x14ac:dyDescent="0.2">
      <c r="A117" s="31" t="s">
        <v>400</v>
      </c>
      <c r="B117" s="23" t="s">
        <v>401</v>
      </c>
      <c r="C117" s="22" t="s">
        <v>171</v>
      </c>
      <c r="D117" s="24">
        <f>356+247</f>
        <v>603</v>
      </c>
      <c r="E117" s="37"/>
      <c r="K117" s="39" t="s">
        <v>402</v>
      </c>
      <c r="L117" s="39">
        <f>13.38+1+1+2.3</f>
        <v>17.68</v>
      </c>
      <c r="M117" s="33">
        <f t="shared" si="13"/>
        <v>1.768</v>
      </c>
      <c r="N117" s="33">
        <f t="shared" si="14"/>
        <v>19.448</v>
      </c>
    </row>
    <row r="118" spans="1:14" ht="25.5" x14ac:dyDescent="0.2">
      <c r="A118" s="31" t="s">
        <v>403</v>
      </c>
      <c r="B118" s="23" t="s">
        <v>404</v>
      </c>
      <c r="C118" s="22" t="s">
        <v>171</v>
      </c>
      <c r="D118" s="24">
        <f>204+54</f>
        <v>258</v>
      </c>
      <c r="E118" s="37"/>
      <c r="K118" s="39" t="s">
        <v>405</v>
      </c>
      <c r="L118" s="39">
        <f>4.21+L117</f>
        <v>21.89</v>
      </c>
      <c r="M118" s="33">
        <f t="shared" si="13"/>
        <v>2.1890000000000001</v>
      </c>
      <c r="N118" s="33">
        <f t="shared" si="14"/>
        <v>24.079000000000001</v>
      </c>
    </row>
    <row r="119" spans="1:14" x14ac:dyDescent="0.2">
      <c r="A119" s="31" t="s">
        <v>406</v>
      </c>
      <c r="B119" s="23" t="s">
        <v>185</v>
      </c>
      <c r="C119" s="22" t="s">
        <v>188</v>
      </c>
      <c r="D119" s="24">
        <v>38</v>
      </c>
      <c r="K119" s="39" t="s">
        <v>407</v>
      </c>
      <c r="L119" s="39">
        <f>2.62+L118</f>
        <v>24.51</v>
      </c>
      <c r="M119" s="33">
        <f t="shared" si="13"/>
        <v>2.4510000000000005</v>
      </c>
      <c r="N119" s="33">
        <f t="shared" si="14"/>
        <v>26.961000000000002</v>
      </c>
    </row>
    <row r="120" spans="1:14" x14ac:dyDescent="0.2">
      <c r="A120" s="31" t="s">
        <v>408</v>
      </c>
      <c r="B120" s="23" t="s">
        <v>409</v>
      </c>
      <c r="C120" s="22" t="s">
        <v>188</v>
      </c>
      <c r="D120" s="24">
        <v>1</v>
      </c>
      <c r="K120" s="39" t="s">
        <v>410</v>
      </c>
      <c r="L120" s="39">
        <f>5.21+L119</f>
        <v>29.720000000000002</v>
      </c>
      <c r="M120" s="33">
        <f t="shared" si="13"/>
        <v>2.9720000000000004</v>
      </c>
      <c r="N120" s="33">
        <f t="shared" si="14"/>
        <v>32.692</v>
      </c>
    </row>
    <row r="121" spans="1:14" x14ac:dyDescent="0.2">
      <c r="A121" s="31" t="s">
        <v>411</v>
      </c>
      <c r="B121" s="23" t="s">
        <v>412</v>
      </c>
      <c r="C121" s="22" t="s">
        <v>188</v>
      </c>
      <c r="D121" s="24">
        <v>4</v>
      </c>
      <c r="K121" s="39" t="s">
        <v>413</v>
      </c>
      <c r="L121" s="39">
        <f>8.14+2.3+1+1</f>
        <v>12.440000000000001</v>
      </c>
      <c r="M121" s="33">
        <f t="shared" si="13"/>
        <v>1.2440000000000002</v>
      </c>
      <c r="N121" s="33">
        <f t="shared" si="14"/>
        <v>13.684000000000001</v>
      </c>
    </row>
    <row r="122" spans="1:14" x14ac:dyDescent="0.2">
      <c r="A122" s="31" t="s">
        <v>414</v>
      </c>
      <c r="B122" s="23" t="s">
        <v>415</v>
      </c>
      <c r="C122" s="22" t="s">
        <v>188</v>
      </c>
      <c r="D122" s="24">
        <f>2+1</f>
        <v>3</v>
      </c>
      <c r="K122" s="39" t="s">
        <v>416</v>
      </c>
      <c r="L122" s="39">
        <f>L121</f>
        <v>12.440000000000001</v>
      </c>
      <c r="M122" s="33">
        <f t="shared" si="13"/>
        <v>1.2440000000000002</v>
      </c>
      <c r="N122" s="33">
        <f t="shared" si="14"/>
        <v>13.684000000000001</v>
      </c>
    </row>
    <row r="123" spans="1:14" x14ac:dyDescent="0.2">
      <c r="A123" s="35">
        <v>3</v>
      </c>
      <c r="B123" s="36" t="s">
        <v>417</v>
      </c>
      <c r="C123" s="40"/>
      <c r="D123" s="40"/>
      <c r="K123" s="39" t="s">
        <v>418</v>
      </c>
      <c r="L123" s="39">
        <f>12+L111</f>
        <v>18.5</v>
      </c>
      <c r="M123" s="33">
        <f t="shared" si="13"/>
        <v>1.85</v>
      </c>
      <c r="N123" s="33">
        <f t="shared" si="14"/>
        <v>20.350000000000001</v>
      </c>
    </row>
    <row r="124" spans="1:14" x14ac:dyDescent="0.2">
      <c r="A124" s="41" t="s">
        <v>112</v>
      </c>
      <c r="B124" s="42" t="s">
        <v>419</v>
      </c>
      <c r="C124" s="41"/>
      <c r="D124" s="43"/>
      <c r="K124" s="39" t="s">
        <v>420</v>
      </c>
      <c r="L124" s="39">
        <f>L123</f>
        <v>18.5</v>
      </c>
      <c r="M124" s="33">
        <f t="shared" si="13"/>
        <v>1.85</v>
      </c>
      <c r="N124" s="33">
        <f t="shared" si="14"/>
        <v>20.350000000000001</v>
      </c>
    </row>
    <row r="125" spans="1:14" x14ac:dyDescent="0.2">
      <c r="A125" s="31" t="s">
        <v>421</v>
      </c>
      <c r="B125" s="23" t="s">
        <v>422</v>
      </c>
      <c r="C125" s="22" t="s">
        <v>171</v>
      </c>
      <c r="D125" s="24">
        <v>126</v>
      </c>
      <c r="F125">
        <f>105.86+(5*1.6)</f>
        <v>113.86</v>
      </c>
      <c r="G125">
        <f>F125*0.1</f>
        <v>11.386000000000001</v>
      </c>
      <c r="H125">
        <f>SUM(F125:G125)</f>
        <v>125.246</v>
      </c>
      <c r="K125" s="39" t="s">
        <v>423</v>
      </c>
      <c r="L125" s="39">
        <f>16.41+2.3+1.6+0.3+0.3+1+1</f>
        <v>22.910000000000004</v>
      </c>
      <c r="M125" s="33">
        <f t="shared" si="13"/>
        <v>2.2910000000000004</v>
      </c>
      <c r="N125" s="33">
        <f t="shared" si="14"/>
        <v>25.201000000000004</v>
      </c>
    </row>
    <row r="126" spans="1:14" x14ac:dyDescent="0.2">
      <c r="A126" s="31" t="s">
        <v>424</v>
      </c>
      <c r="B126" s="23" t="s">
        <v>425</v>
      </c>
      <c r="C126" s="22" t="s">
        <v>188</v>
      </c>
      <c r="D126" s="24">
        <v>5</v>
      </c>
      <c r="K126" s="39" t="s">
        <v>426</v>
      </c>
      <c r="L126" s="39">
        <f>L125</f>
        <v>22.910000000000004</v>
      </c>
      <c r="M126" s="33">
        <f t="shared" si="13"/>
        <v>2.2910000000000004</v>
      </c>
      <c r="N126" s="33">
        <f t="shared" si="14"/>
        <v>25.201000000000004</v>
      </c>
    </row>
    <row r="127" spans="1:14" ht="25.5" x14ac:dyDescent="0.2">
      <c r="A127" s="31" t="s">
        <v>427</v>
      </c>
      <c r="B127" s="23" t="s">
        <v>428</v>
      </c>
      <c r="C127" s="22" t="s">
        <v>188</v>
      </c>
      <c r="D127" s="24">
        <v>5</v>
      </c>
      <c r="K127" s="39" t="s">
        <v>429</v>
      </c>
      <c r="L127" s="39">
        <f>13.98+2.3+1.6+0.3+0.3+1+1</f>
        <v>20.480000000000004</v>
      </c>
      <c r="M127" s="33">
        <f t="shared" si="13"/>
        <v>2.0480000000000005</v>
      </c>
      <c r="N127" s="33">
        <f t="shared" si="14"/>
        <v>22.528000000000006</v>
      </c>
    </row>
    <row r="128" spans="1:14" x14ac:dyDescent="0.2">
      <c r="A128" s="31" t="s">
        <v>430</v>
      </c>
      <c r="B128" s="23" t="s">
        <v>431</v>
      </c>
      <c r="C128" s="22" t="s">
        <v>188</v>
      </c>
      <c r="D128" s="24">
        <v>10</v>
      </c>
      <c r="K128" s="39" t="s">
        <v>432</v>
      </c>
      <c r="L128" s="39">
        <f>L127</f>
        <v>20.480000000000004</v>
      </c>
      <c r="M128" s="33">
        <f t="shared" si="13"/>
        <v>2.0480000000000005</v>
      </c>
      <c r="N128" s="33">
        <f t="shared" si="14"/>
        <v>22.528000000000006</v>
      </c>
    </row>
    <row r="129" spans="1:14" x14ac:dyDescent="0.2">
      <c r="A129" s="41" t="s">
        <v>113</v>
      </c>
      <c r="B129" s="44" t="s">
        <v>433</v>
      </c>
      <c r="C129" s="41"/>
      <c r="D129" s="24"/>
      <c r="K129" s="39" t="s">
        <v>434</v>
      </c>
      <c r="L129" s="39">
        <f>3.42+L128</f>
        <v>23.900000000000006</v>
      </c>
      <c r="M129" s="33">
        <f t="shared" si="13"/>
        <v>2.3900000000000006</v>
      </c>
      <c r="N129" s="33">
        <f t="shared" si="14"/>
        <v>26.290000000000006</v>
      </c>
    </row>
    <row r="130" spans="1:14" x14ac:dyDescent="0.2">
      <c r="A130" s="31" t="s">
        <v>435</v>
      </c>
      <c r="B130" s="23" t="s">
        <v>436</v>
      </c>
      <c r="C130" s="22" t="s">
        <v>188</v>
      </c>
      <c r="D130" s="24">
        <v>5</v>
      </c>
      <c r="H130" s="25"/>
      <c r="K130" s="39" t="s">
        <v>437</v>
      </c>
      <c r="L130" s="39">
        <f>13.2+1+1+1.6+2.3+0.3+0.3</f>
        <v>19.700000000000003</v>
      </c>
      <c r="M130" s="33">
        <f t="shared" si="13"/>
        <v>1.9700000000000004</v>
      </c>
      <c r="N130" s="33">
        <f t="shared" si="14"/>
        <v>21.67</v>
      </c>
    </row>
    <row r="131" spans="1:14" x14ac:dyDescent="0.2">
      <c r="A131" s="31" t="s">
        <v>438</v>
      </c>
      <c r="B131" s="23" t="s">
        <v>439</v>
      </c>
      <c r="C131" s="22" t="s">
        <v>440</v>
      </c>
      <c r="D131" s="24">
        <v>58</v>
      </c>
      <c r="F131">
        <f>(12*5)-(1.6*5)</f>
        <v>52</v>
      </c>
      <c r="G131" s="24">
        <f>F131*0.1</f>
        <v>5.2</v>
      </c>
      <c r="H131" s="29">
        <f>SUM(F131:G131)</f>
        <v>57.2</v>
      </c>
      <c r="I131" s="29"/>
      <c r="K131" s="39" t="s">
        <v>441</v>
      </c>
      <c r="L131" s="39">
        <f>5.06+L130</f>
        <v>24.76</v>
      </c>
      <c r="M131" s="33">
        <f t="shared" si="13"/>
        <v>2.4760000000000004</v>
      </c>
      <c r="N131" s="33">
        <f t="shared" si="14"/>
        <v>27.236000000000001</v>
      </c>
    </row>
    <row r="132" spans="1:14" x14ac:dyDescent="0.2">
      <c r="A132" s="31" t="s">
        <v>442</v>
      </c>
      <c r="B132" s="23" t="s">
        <v>443</v>
      </c>
      <c r="C132" s="22" t="s">
        <v>188</v>
      </c>
      <c r="D132" s="24">
        <f>5*3</f>
        <v>15</v>
      </c>
      <c r="K132" s="39" t="s">
        <v>444</v>
      </c>
      <c r="L132" s="39">
        <f>12.9+1.6+1+1+2.3</f>
        <v>18.8</v>
      </c>
      <c r="M132" s="33">
        <f t="shared" si="13"/>
        <v>1.8800000000000001</v>
      </c>
      <c r="N132" s="33">
        <f t="shared" si="14"/>
        <v>20.68</v>
      </c>
    </row>
    <row r="133" spans="1:14" x14ac:dyDescent="0.2">
      <c r="A133" s="45" t="s">
        <v>115</v>
      </c>
      <c r="B133" s="46" t="s">
        <v>445</v>
      </c>
      <c r="C133" s="41"/>
      <c r="D133" s="24"/>
      <c r="K133" s="39" t="s">
        <v>446</v>
      </c>
      <c r="L133" s="39">
        <f>13.98+2.3+0.3+0.3+1.6+1+1</f>
        <v>20.480000000000004</v>
      </c>
      <c r="M133" s="33">
        <f t="shared" si="13"/>
        <v>2.0480000000000005</v>
      </c>
      <c r="N133" s="33">
        <f t="shared" si="14"/>
        <v>22.528000000000006</v>
      </c>
    </row>
    <row r="134" spans="1:14" x14ac:dyDescent="0.2">
      <c r="A134" s="31" t="s">
        <v>447</v>
      </c>
      <c r="B134" s="23" t="s">
        <v>448</v>
      </c>
      <c r="C134" s="22" t="s">
        <v>188</v>
      </c>
      <c r="D134" s="24">
        <v>5</v>
      </c>
      <c r="K134" s="39" t="s">
        <v>449</v>
      </c>
      <c r="L134" s="39">
        <f>L133</f>
        <v>20.480000000000004</v>
      </c>
      <c r="M134" s="33">
        <f t="shared" si="13"/>
        <v>2.0480000000000005</v>
      </c>
      <c r="N134" s="33">
        <f t="shared" si="14"/>
        <v>22.528000000000006</v>
      </c>
    </row>
    <row r="135" spans="1:14" x14ac:dyDescent="0.2">
      <c r="A135" s="31" t="s">
        <v>450</v>
      </c>
      <c r="B135" s="23" t="s">
        <v>451</v>
      </c>
      <c r="C135" s="22" t="s">
        <v>188</v>
      </c>
      <c r="D135" s="24">
        <v>5</v>
      </c>
      <c r="K135" s="39" t="s">
        <v>452</v>
      </c>
      <c r="L135" s="39">
        <f>13.25+1.6+1+1+0.3+1.3+2.3</f>
        <v>20.750000000000004</v>
      </c>
      <c r="M135" s="33">
        <f t="shared" si="13"/>
        <v>2.0750000000000006</v>
      </c>
      <c r="N135" s="33">
        <f t="shared" si="14"/>
        <v>22.825000000000003</v>
      </c>
    </row>
    <row r="136" spans="1:14" x14ac:dyDescent="0.2">
      <c r="A136" s="41" t="s">
        <v>114</v>
      </c>
      <c r="B136" s="42" t="s">
        <v>453</v>
      </c>
      <c r="C136" s="41"/>
      <c r="D136" s="24"/>
      <c r="H136" s="25"/>
      <c r="K136" s="39" t="s">
        <v>454</v>
      </c>
      <c r="L136" s="39">
        <f>12.89+1.6+1+1+0.3+0.3+1.6</f>
        <v>18.690000000000005</v>
      </c>
      <c r="M136" s="33">
        <f t="shared" si="13"/>
        <v>1.8690000000000007</v>
      </c>
      <c r="N136" s="33">
        <f t="shared" si="14"/>
        <v>20.559000000000005</v>
      </c>
    </row>
    <row r="137" spans="1:14" x14ac:dyDescent="0.2">
      <c r="A137" s="31" t="s">
        <v>455</v>
      </c>
      <c r="B137" s="23" t="s">
        <v>439</v>
      </c>
      <c r="C137" s="22" t="s">
        <v>171</v>
      </c>
      <c r="D137" s="24">
        <v>133</v>
      </c>
      <c r="F137">
        <f>113.76+2.6+2.6+1.8</f>
        <v>120.75999999999999</v>
      </c>
      <c r="G137">
        <f>F137*0.1</f>
        <v>12.076000000000001</v>
      </c>
      <c r="H137">
        <f>SUM(F137:G137)</f>
        <v>132.83599999999998</v>
      </c>
      <c r="K137" s="39" t="s">
        <v>456</v>
      </c>
      <c r="L137" s="39">
        <f>3.42+L133+1+1</f>
        <v>25.900000000000006</v>
      </c>
      <c r="M137" s="33">
        <f t="shared" si="13"/>
        <v>2.5900000000000007</v>
      </c>
      <c r="N137" s="33">
        <f t="shared" si="14"/>
        <v>28.490000000000006</v>
      </c>
    </row>
    <row r="138" spans="1:14" x14ac:dyDescent="0.2">
      <c r="A138" s="31" t="s">
        <v>457</v>
      </c>
      <c r="B138" s="23" t="s">
        <v>458</v>
      </c>
      <c r="C138" s="22" t="s">
        <v>188</v>
      </c>
      <c r="D138" s="24">
        <v>63</v>
      </c>
      <c r="M138" s="38" t="s">
        <v>306</v>
      </c>
      <c r="N138" s="34">
        <f>SUM(N111:N137)</f>
        <v>642.5980000000003</v>
      </c>
    </row>
    <row r="139" spans="1:14" x14ac:dyDescent="0.2">
      <c r="A139" s="45" t="s">
        <v>459</v>
      </c>
      <c r="B139" s="46" t="s">
        <v>460</v>
      </c>
      <c r="C139" s="41"/>
      <c r="D139" s="24"/>
    </row>
    <row r="140" spans="1:14" ht="25.5" x14ac:dyDescent="0.2">
      <c r="A140" s="31" t="s">
        <v>461</v>
      </c>
      <c r="B140" s="23" t="s">
        <v>462</v>
      </c>
      <c r="C140" s="22" t="s">
        <v>188</v>
      </c>
      <c r="D140" s="24">
        <v>20</v>
      </c>
    </row>
    <row r="141" spans="1:14" x14ac:dyDescent="0.2">
      <c r="A141" s="31" t="s">
        <v>463</v>
      </c>
      <c r="B141" s="23" t="s">
        <v>458</v>
      </c>
      <c r="C141" s="22" t="s">
        <v>188</v>
      </c>
      <c r="D141" s="24">
        <v>20</v>
      </c>
    </row>
    <row r="142" spans="1:14" x14ac:dyDescent="0.2">
      <c r="A142" s="17">
        <v>4</v>
      </c>
      <c r="B142" s="16" t="s">
        <v>464</v>
      </c>
      <c r="C142" s="47"/>
      <c r="D142" s="47"/>
    </row>
    <row r="143" spans="1:14" ht="51" x14ac:dyDescent="0.2">
      <c r="A143" s="48" t="s">
        <v>119</v>
      </c>
      <c r="B143" s="49" t="s">
        <v>465</v>
      </c>
      <c r="C143" s="50" t="s">
        <v>188</v>
      </c>
      <c r="D143" s="51">
        <v>1</v>
      </c>
    </row>
    <row r="144" spans="1:14" x14ac:dyDescent="0.2">
      <c r="A144" s="52"/>
      <c r="B144" s="53"/>
      <c r="C144" s="52"/>
      <c r="D144" s="54"/>
    </row>
    <row r="145" spans="1:4" x14ac:dyDescent="0.2">
      <c r="A145" s="52"/>
      <c r="B145" s="53"/>
      <c r="C145" s="52"/>
      <c r="D145" s="54"/>
    </row>
  </sheetData>
  <mergeCells count="5">
    <mergeCell ref="A1:D1"/>
    <mergeCell ref="A2:A3"/>
    <mergeCell ref="B2:B3"/>
    <mergeCell ref="C2:C3"/>
    <mergeCell ref="D2:D3"/>
  </mergeCells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43DDB-F024-4E7A-872E-B9A6DCD3608C}">
  <dimension ref="A1:D27"/>
  <sheetViews>
    <sheetView workbookViewId="0">
      <selection sqref="A1:D1"/>
    </sheetView>
  </sheetViews>
  <sheetFormatPr defaultRowHeight="12.75" x14ac:dyDescent="0.2"/>
  <cols>
    <col min="2" max="2" width="69.85546875" customWidth="1"/>
  </cols>
  <sheetData>
    <row r="1" spans="1:4" ht="18" customHeight="1" x14ac:dyDescent="0.3">
      <c r="A1" s="85" t="s">
        <v>32</v>
      </c>
      <c r="B1" s="86"/>
      <c r="C1" s="86"/>
      <c r="D1" s="87"/>
    </row>
    <row r="2" spans="1:4" ht="25.5" x14ac:dyDescent="0.2">
      <c r="A2" s="6">
        <v>1</v>
      </c>
      <c r="B2" s="7" t="s">
        <v>3</v>
      </c>
      <c r="C2" s="8" t="s">
        <v>4</v>
      </c>
      <c r="D2" s="9">
        <v>1</v>
      </c>
    </row>
    <row r="3" spans="1:4" ht="38.25" x14ac:dyDescent="0.2">
      <c r="A3" s="6">
        <v>2</v>
      </c>
      <c r="B3" s="7" t="s">
        <v>5</v>
      </c>
      <c r="C3" s="8" t="s">
        <v>4</v>
      </c>
      <c r="D3" s="9">
        <v>3</v>
      </c>
    </row>
    <row r="4" spans="1:4" ht="25.5" x14ac:dyDescent="0.2">
      <c r="A4" s="6">
        <v>3</v>
      </c>
      <c r="B4" s="7" t="s">
        <v>6</v>
      </c>
      <c r="C4" s="8" t="s">
        <v>4</v>
      </c>
      <c r="D4" s="9">
        <v>4</v>
      </c>
    </row>
    <row r="5" spans="1:4" ht="38.25" x14ac:dyDescent="0.2">
      <c r="A5" s="6">
        <v>4</v>
      </c>
      <c r="B5" s="7" t="s">
        <v>7</v>
      </c>
      <c r="C5" s="8" t="s">
        <v>4</v>
      </c>
      <c r="D5" s="9">
        <v>6</v>
      </c>
    </row>
    <row r="6" spans="1:4" ht="25.5" x14ac:dyDescent="0.2">
      <c r="A6" s="6">
        <v>5</v>
      </c>
      <c r="B6" s="7" t="s">
        <v>8</v>
      </c>
      <c r="C6" s="8" t="s">
        <v>4</v>
      </c>
      <c r="D6" s="9">
        <v>1</v>
      </c>
    </row>
    <row r="7" spans="1:4" ht="25.5" x14ac:dyDescent="0.2">
      <c r="A7" s="6">
        <v>6</v>
      </c>
      <c r="B7" s="7" t="s">
        <v>9</v>
      </c>
      <c r="C7" s="8" t="s">
        <v>10</v>
      </c>
      <c r="D7" s="9">
        <v>1</v>
      </c>
    </row>
    <row r="8" spans="1:4" ht="25.5" x14ac:dyDescent="0.2">
      <c r="A8" s="6">
        <v>7</v>
      </c>
      <c r="B8" s="7" t="s">
        <v>11</v>
      </c>
      <c r="C8" s="8" t="s">
        <v>4</v>
      </c>
      <c r="D8" s="9">
        <v>1</v>
      </c>
    </row>
    <row r="9" spans="1:4" ht="25.5" x14ac:dyDescent="0.2">
      <c r="A9" s="6">
        <v>8</v>
      </c>
      <c r="B9" s="7" t="s">
        <v>12</v>
      </c>
      <c r="C9" s="8" t="s">
        <v>2</v>
      </c>
      <c r="D9" s="9">
        <v>0.64</v>
      </c>
    </row>
    <row r="10" spans="1:4" ht="25.5" x14ac:dyDescent="0.2">
      <c r="A10" s="6">
        <v>9</v>
      </c>
      <c r="B10" s="7" t="s">
        <v>13</v>
      </c>
      <c r="C10" s="8" t="s">
        <v>4</v>
      </c>
      <c r="D10" s="9">
        <v>1</v>
      </c>
    </row>
    <row r="11" spans="1:4" ht="38.25" x14ac:dyDescent="0.2">
      <c r="A11" s="6">
        <v>10</v>
      </c>
      <c r="B11" s="7" t="s">
        <v>14</v>
      </c>
      <c r="C11" s="8" t="s">
        <v>4</v>
      </c>
      <c r="D11" s="9">
        <v>4</v>
      </c>
    </row>
    <row r="12" spans="1:4" ht="38.25" x14ac:dyDescent="0.2">
      <c r="A12" s="6">
        <v>11</v>
      </c>
      <c r="B12" s="7" t="s">
        <v>15</v>
      </c>
      <c r="C12" s="8" t="s">
        <v>4</v>
      </c>
      <c r="D12" s="9">
        <v>5</v>
      </c>
    </row>
    <row r="13" spans="1:4" ht="25.5" x14ac:dyDescent="0.2">
      <c r="A13" s="6">
        <v>12</v>
      </c>
      <c r="B13" s="7" t="s">
        <v>16</v>
      </c>
      <c r="C13" s="8" t="s">
        <v>4</v>
      </c>
      <c r="D13" s="9">
        <v>2</v>
      </c>
    </row>
    <row r="14" spans="1:4" ht="25.5" x14ac:dyDescent="0.2">
      <c r="A14" s="6">
        <v>13</v>
      </c>
      <c r="B14" s="7" t="s">
        <v>17</v>
      </c>
      <c r="C14" s="8" t="s">
        <v>4</v>
      </c>
      <c r="D14" s="9">
        <v>1</v>
      </c>
    </row>
    <row r="15" spans="1:4" ht="25.5" x14ac:dyDescent="0.2">
      <c r="A15" s="6">
        <v>14</v>
      </c>
      <c r="B15" s="7" t="s">
        <v>18</v>
      </c>
      <c r="C15" s="8" t="s">
        <v>4</v>
      </c>
      <c r="D15" s="9">
        <v>2</v>
      </c>
    </row>
    <row r="16" spans="1:4" ht="38.25" x14ac:dyDescent="0.2">
      <c r="A16" s="6">
        <v>15</v>
      </c>
      <c r="B16" s="7" t="s">
        <v>19</v>
      </c>
      <c r="C16" s="8" t="s">
        <v>20</v>
      </c>
      <c r="D16" s="9">
        <v>47.82</v>
      </c>
    </row>
    <row r="17" spans="1:4" ht="25.5" x14ac:dyDescent="0.2">
      <c r="A17" s="6">
        <v>16</v>
      </c>
      <c r="B17" s="7" t="s">
        <v>6</v>
      </c>
      <c r="C17" s="8" t="s">
        <v>4</v>
      </c>
      <c r="D17" s="9">
        <v>4</v>
      </c>
    </row>
    <row r="18" spans="1:4" ht="25.5" x14ac:dyDescent="0.2">
      <c r="A18" s="6">
        <v>17</v>
      </c>
      <c r="B18" s="7" t="s">
        <v>21</v>
      </c>
      <c r="C18" s="8" t="s">
        <v>4</v>
      </c>
      <c r="D18" s="9">
        <v>38</v>
      </c>
    </row>
    <row r="19" spans="1:4" ht="25.5" x14ac:dyDescent="0.2">
      <c r="A19" s="6">
        <v>18</v>
      </c>
      <c r="B19" s="7" t="s">
        <v>22</v>
      </c>
      <c r="C19" s="8" t="s">
        <v>4</v>
      </c>
      <c r="D19" s="9">
        <v>6</v>
      </c>
    </row>
    <row r="20" spans="1:4" x14ac:dyDescent="0.2">
      <c r="A20" s="6">
        <v>19</v>
      </c>
      <c r="B20" s="7" t="s">
        <v>23</v>
      </c>
      <c r="C20" s="8" t="s">
        <v>4</v>
      </c>
      <c r="D20" s="9">
        <v>3</v>
      </c>
    </row>
    <row r="21" spans="1:4" x14ac:dyDescent="0.2">
      <c r="A21" s="6">
        <v>20</v>
      </c>
      <c r="B21" s="7" t="s">
        <v>24</v>
      </c>
      <c r="C21" s="8" t="s">
        <v>4</v>
      </c>
      <c r="D21" s="9">
        <v>3</v>
      </c>
    </row>
    <row r="22" spans="1:4" x14ac:dyDescent="0.2">
      <c r="A22" s="6">
        <v>21</v>
      </c>
      <c r="B22" s="7" t="s">
        <v>25</v>
      </c>
      <c r="C22" s="8" t="s">
        <v>4</v>
      </c>
      <c r="D22" s="9">
        <v>3</v>
      </c>
    </row>
    <row r="23" spans="1:4" x14ac:dyDescent="0.2">
      <c r="A23" s="6">
        <v>22</v>
      </c>
      <c r="B23" s="7" t="s">
        <v>26</v>
      </c>
      <c r="C23" s="8" t="s">
        <v>4</v>
      </c>
      <c r="D23" s="9">
        <v>1</v>
      </c>
    </row>
    <row r="24" spans="1:4" ht="25.5" x14ac:dyDescent="0.2">
      <c r="A24" s="6">
        <v>23</v>
      </c>
      <c r="B24" s="7" t="s">
        <v>27</v>
      </c>
      <c r="C24" s="8" t="s">
        <v>4</v>
      </c>
      <c r="D24" s="9">
        <v>30</v>
      </c>
    </row>
    <row r="25" spans="1:4" ht="25.5" x14ac:dyDescent="0.2">
      <c r="A25" s="6">
        <v>24</v>
      </c>
      <c r="B25" s="7" t="s">
        <v>28</v>
      </c>
      <c r="C25" s="8" t="s">
        <v>4</v>
      </c>
      <c r="D25" s="9">
        <v>19</v>
      </c>
    </row>
    <row r="26" spans="1:4" ht="25.5" x14ac:dyDescent="0.2">
      <c r="A26" s="6">
        <v>25</v>
      </c>
      <c r="B26" s="7" t="s">
        <v>29</v>
      </c>
      <c r="C26" s="8" t="s">
        <v>30</v>
      </c>
      <c r="D26" s="9">
        <v>6</v>
      </c>
    </row>
    <row r="27" spans="1:4" ht="25.5" x14ac:dyDescent="0.2">
      <c r="A27" s="6">
        <v>26</v>
      </c>
      <c r="B27" s="7" t="s">
        <v>31</v>
      </c>
      <c r="C27" s="8" t="s">
        <v>30</v>
      </c>
      <c r="D27" s="9">
        <v>1.47</v>
      </c>
    </row>
  </sheetData>
  <mergeCells count="1">
    <mergeCell ref="A1:D1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ARQUITETÔNICO</vt:lpstr>
      <vt:lpstr>ESTRUTURAL</vt:lpstr>
      <vt:lpstr>HIDROSSANITÁRIO</vt:lpstr>
      <vt:lpstr>ELÉ.-LÓG.-CFTV-SPDA-FOTOV.</vt:lpstr>
      <vt:lpstr>INCÊNDIO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Larissa Meireles</cp:lastModifiedBy>
  <dcterms:created xsi:type="dcterms:W3CDTF">2023-10-11T05:16:52Z</dcterms:created>
  <dcterms:modified xsi:type="dcterms:W3CDTF">2023-12-03T20:39:07Z</dcterms:modified>
</cp:coreProperties>
</file>